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Z:\ATTIVITA'\CONSULENZA\02_RIFIUTI\MNA - medio novarese ambiente\DELIVERABLES\PEF GREZZI E PEF TOTALI_DA INVIARE\Borgo Ticino\"/>
    </mc:Choice>
  </mc:AlternateContent>
  <xr:revisionPtr revIDLastSave="0" documentId="13_ncr:1_{47D75222-06EC-46D3-8174-83344E3A7A37}" xr6:coauthVersionLast="45" xr6:coauthVersionMax="45" xr10:uidLastSave="{00000000-0000-0000-0000-000000000000}"/>
  <bookViews>
    <workbookView xWindow="876" yWindow="492" windowWidth="18132" windowHeight="11376" xr2:uid="{00000000-000D-0000-FFFF-FFFF00000000}"/>
  </bookViews>
  <sheets>
    <sheet name="MODPEF2020" sheetId="1" r:id="rId1"/>
    <sheet name="Ricavi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G110" i="1"/>
  <c r="F20" i="1" l="1"/>
  <c r="G97" i="1"/>
  <c r="E73" i="1"/>
  <c r="E74" i="1" s="1"/>
  <c r="F43" i="1"/>
  <c r="G82" i="1"/>
  <c r="F74" i="1"/>
  <c r="F73" i="1"/>
  <c r="E41" i="1" l="1"/>
  <c r="E43" i="1" s="1"/>
  <c r="E18" i="1"/>
  <c r="E20" i="1" s="1"/>
  <c r="G20" i="1" s="1"/>
  <c r="W20" i="1" s="1"/>
  <c r="F38" i="1"/>
  <c r="G31" i="1"/>
  <c r="W31" i="1" s="1"/>
  <c r="G87" i="1"/>
  <c r="G83" i="1"/>
  <c r="G17" i="1"/>
  <c r="W17" i="1" s="1"/>
  <c r="F16" i="1"/>
  <c r="E16" i="1"/>
  <c r="F13" i="1"/>
  <c r="E13" i="1"/>
  <c r="W54" i="1"/>
  <c r="W52" i="1"/>
  <c r="W51" i="1"/>
  <c r="F46" i="1"/>
  <c r="E46" i="1"/>
  <c r="G46" i="1" s="1"/>
  <c r="W46" i="1" s="1"/>
  <c r="R45" i="1"/>
  <c r="Q45" i="1"/>
  <c r="G44" i="1"/>
  <c r="W44" i="1" s="1"/>
  <c r="W42" i="1"/>
  <c r="W41" i="1"/>
  <c r="G40" i="1"/>
  <c r="W40" i="1" s="1"/>
  <c r="U38" i="1"/>
  <c r="G37" i="1"/>
  <c r="W37" i="1" s="1"/>
  <c r="G36" i="1"/>
  <c r="W36" i="1" s="1"/>
  <c r="G35" i="1"/>
  <c r="W35" i="1" s="1"/>
  <c r="G34" i="1"/>
  <c r="W34" i="1" s="1"/>
  <c r="G33" i="1"/>
  <c r="W33" i="1" s="1"/>
  <c r="G32" i="1"/>
  <c r="W32" i="1" s="1"/>
  <c r="G30" i="1"/>
  <c r="W30" i="1" s="1"/>
  <c r="V29" i="1"/>
  <c r="U29" i="1"/>
  <c r="G28" i="1"/>
  <c r="W28" i="1" s="1"/>
  <c r="G27" i="1"/>
  <c r="W27" i="1" s="1"/>
  <c r="G26" i="1"/>
  <c r="W26" i="1" s="1"/>
  <c r="G25" i="1"/>
  <c r="W25" i="1" s="1"/>
  <c r="G21" i="1"/>
  <c r="W21" i="1" s="1"/>
  <c r="W19" i="1"/>
  <c r="W18" i="1"/>
  <c r="W15" i="1"/>
  <c r="G14" i="1"/>
  <c r="W14" i="1" s="1"/>
  <c r="W12" i="1"/>
  <c r="G11" i="1"/>
  <c r="W11" i="1" s="1"/>
  <c r="G10" i="1"/>
  <c r="W10" i="1" s="1"/>
  <c r="G9" i="1"/>
  <c r="W9" i="1" s="1"/>
  <c r="G8" i="1"/>
  <c r="W8" i="1" s="1"/>
  <c r="G7" i="1"/>
  <c r="W7" i="1" s="1"/>
  <c r="E22" i="1" l="1"/>
  <c r="E53" i="1" s="1"/>
  <c r="G39" i="1"/>
  <c r="W39" i="1" s="1"/>
  <c r="G43" i="1"/>
  <c r="W43" i="1" s="1"/>
  <c r="E38" i="1"/>
  <c r="G38" i="1" s="1"/>
  <c r="F45" i="1"/>
  <c r="F55" i="1" s="1"/>
  <c r="G29" i="1"/>
  <c r="G16" i="1"/>
  <c r="W16" i="1" s="1"/>
  <c r="G13" i="1"/>
  <c r="W13" i="1" s="1"/>
  <c r="F22" i="1"/>
  <c r="F53" i="1" s="1"/>
  <c r="W38" i="1"/>
  <c r="G48" i="1"/>
  <c r="W29" i="1"/>
  <c r="G6" i="1"/>
  <c r="W6" i="1" s="1"/>
  <c r="G24" i="1"/>
  <c r="W24" i="1" s="1"/>
  <c r="E45" i="1" l="1"/>
  <c r="E55" i="1" s="1"/>
  <c r="G55" i="1" s="1"/>
  <c r="F47" i="1"/>
  <c r="F56" i="1"/>
  <c r="G22" i="1"/>
  <c r="W22" i="1"/>
  <c r="W53" i="1" s="1"/>
  <c r="W66" i="1" s="1"/>
  <c r="W45" i="1"/>
  <c r="W47" i="1" s="1"/>
  <c r="G45" i="1" l="1"/>
  <c r="E47" i="1"/>
  <c r="G47" i="1" s="1"/>
  <c r="E56" i="1"/>
  <c r="G56" i="1" s="1"/>
  <c r="G84" i="1" s="1"/>
  <c r="G53" i="1"/>
  <c r="W67" i="1"/>
  <c r="W71" i="1" s="1"/>
  <c r="G94" i="1" s="1"/>
  <c r="W55" i="1"/>
  <c r="G88" i="1" l="1"/>
  <c r="G60" i="1"/>
  <c r="W72" i="1"/>
  <c r="G95" i="1" s="1"/>
  <c r="G100" i="1" s="1"/>
  <c r="G112" i="1" s="1"/>
  <c r="W56" i="1"/>
  <c r="W60" i="1" s="1"/>
  <c r="G90" i="1"/>
  <c r="G9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Alessia</author>
  </authors>
  <commentList>
    <comment ref="B102" authorId="0" shapeId="0" xr:uid="{291F3457-09F3-4883-889C-FBACAC0F992C}">
      <text>
        <r>
          <rPr>
            <b/>
            <sz val="9"/>
            <color indexed="81"/>
            <rFont val="Tahoma"/>
            <family val="2"/>
          </rPr>
          <t>Detrazioni di cui al comma 1.4 det. 2/DRIF/2020 rappresentano: 
- contributo MIUR
- entrate effetticamente conseguite a seguito dell'attività di recupero dell'evazione
- entrate derivanti da procedure sanzionatorie
- ulteriori partite approvate dall'ETC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Alessia</author>
  </authors>
  <commentList>
    <comment ref="F5" authorId="0" shapeId="0" xr:uid="{BAE2F7EC-4821-4094-AED4-D4D0B2327C2E}">
      <text>
        <r>
          <rPr>
            <b/>
            <sz val="9"/>
            <color indexed="81"/>
            <rFont val="Tahoma"/>
            <family val="2"/>
          </rPr>
          <t xml:space="preserve">I Costi del Comune sono comprensivi dell'IVA di MNA e del Consorzio
</t>
        </r>
      </text>
    </comment>
  </commentList>
</comments>
</file>

<file path=xl/sharedStrings.xml><?xml version="1.0" encoding="utf-8"?>
<sst xmlns="http://schemas.openxmlformats.org/spreadsheetml/2006/main" count="258" uniqueCount="130">
  <si>
    <t>agg. 24-06-2020</t>
  </si>
  <si>
    <t xml:space="preserve">       PEF 2020</t>
  </si>
  <si>
    <t>Appendice 1 al MTR (versione integrata con la Deliberazione 238/2020/R/rif)</t>
  </si>
  <si>
    <t>Input dati 
Ciclo integrato RU</t>
  </si>
  <si>
    <t>Rimodulazione costi per rispetto limite di crescita (inserire il costi da decurtare con segno positivo)</t>
  </si>
  <si>
    <t xml:space="preserve">Input gestori (G) 
Input Ente territorialmente competente (E)
Dato calcolato (C)
Dato MTR </t>
  </si>
  <si>
    <t>Medio Novarese Ambiente</t>
  </si>
  <si>
    <t>Comune + Consorzio</t>
  </si>
  <si>
    <t>TOT PEF</t>
  </si>
  <si>
    <t>Legenda celle</t>
  </si>
  <si>
    <t>Costi da detrarre al gestore per rispetto vincolo alla crescita</t>
  </si>
  <si>
    <t>Costi da detrarre al comune per rispetto vincolo alla crescita</t>
  </si>
  <si>
    <t>PEF con rispetto del limite alla crescita</t>
  </si>
  <si>
    <r>
      <t xml:space="preserve">Costi dell’attività di raccolta e trasporto dei rifiuti urbani indifferenziati –  </t>
    </r>
    <r>
      <rPr>
        <b/>
        <sz val="12"/>
        <color theme="1"/>
        <rFont val="Calibri"/>
        <family val="2"/>
        <scheme val="minor"/>
      </rPr>
      <t>CRT</t>
    </r>
  </si>
  <si>
    <t>G</t>
  </si>
  <si>
    <t>compilazione libera</t>
  </si>
  <si>
    <r>
      <t xml:space="preserve">Costi dell’attività di trattamento e smaltimento dei rifiuti urbani – </t>
    </r>
    <r>
      <rPr>
        <b/>
        <sz val="12"/>
        <color theme="1"/>
        <rFont val="Calibri"/>
        <family val="2"/>
        <scheme val="minor"/>
      </rPr>
      <t>CTS</t>
    </r>
  </si>
  <si>
    <t>non compilabile</t>
  </si>
  <si>
    <r>
      <t xml:space="preserve">Costi dell’attività di trattamento e recupero dei rifiuti urbani – </t>
    </r>
    <r>
      <rPr>
        <b/>
        <sz val="12"/>
        <color theme="1"/>
        <rFont val="Calibri"/>
        <family val="2"/>
        <scheme val="minor"/>
      </rPr>
      <t>CTR</t>
    </r>
  </si>
  <si>
    <t>celle contenenti formule</t>
  </si>
  <si>
    <r>
      <t xml:space="preserve">Costi dell’attività di raccolta e trasporto delle frazioni differenziate – </t>
    </r>
    <r>
      <rPr>
        <b/>
        <sz val="12"/>
        <color theme="1"/>
        <rFont val="Calibri"/>
        <family val="2"/>
        <scheme val="minor"/>
      </rPr>
      <t>CRD</t>
    </r>
  </si>
  <si>
    <t>celle contenenti formule/totali</t>
  </si>
  <si>
    <r>
      <t xml:space="preserve">Costi operativi incentivanti variabili di cui all'articolo 8 del MTR – </t>
    </r>
    <r>
      <rPr>
        <b/>
        <sz val="12"/>
        <color theme="1"/>
        <rFont val="Calibri"/>
        <family val="2"/>
        <scheme val="minor"/>
      </rPr>
      <t>COI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</si>
  <si>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Proventi della vendita di materiale ed energia derivante da rifiuti – </t>
    </r>
    <r>
      <rPr>
        <b/>
        <sz val="12"/>
        <color theme="1"/>
        <rFont val="Calibri"/>
        <family val="2"/>
        <scheme val="minor"/>
      </rPr>
      <t>AR</t>
    </r>
  </si>
  <si>
    <r>
      <t xml:space="preserve">Fattore di Sharing  – </t>
    </r>
    <r>
      <rPr>
        <b/>
        <sz val="12"/>
        <color theme="1"/>
        <rFont val="Calibri"/>
        <family val="2"/>
        <scheme val="minor"/>
      </rPr>
      <t>b</t>
    </r>
  </si>
  <si>
    <t>E</t>
  </si>
  <si>
    <r>
      <t xml:space="preserve">Proventi della vendita di materiale ed energia derivante da rifiuti dopo sharing – </t>
    </r>
    <r>
      <rPr>
        <b/>
        <i/>
        <sz val="12"/>
        <color theme="1"/>
        <rFont val="Calibri"/>
        <family val="2"/>
        <scheme val="minor"/>
      </rPr>
      <t>b(AR)</t>
    </r>
  </si>
  <si>
    <r>
      <t xml:space="preserve">Ricavi derivanti dai corrispettivi riconosciuti dal CONAI – </t>
    </r>
    <r>
      <rPr>
        <b/>
        <sz val="12"/>
        <color theme="1"/>
        <rFont val="Calibri"/>
        <family val="2"/>
        <scheme val="minor"/>
      </rPr>
      <t>AR</t>
    </r>
    <r>
      <rPr>
        <b/>
        <vertAlign val="subscript"/>
        <sz val="12"/>
        <color theme="1"/>
        <rFont val="Calibri"/>
        <family val="2"/>
        <scheme val="minor"/>
      </rPr>
      <t>CONAI</t>
    </r>
  </si>
  <si>
    <r>
      <t xml:space="preserve">Fattore di Sharing  – </t>
    </r>
    <r>
      <rPr>
        <b/>
        <sz val="12"/>
        <color theme="1"/>
        <rFont val="Calibri"/>
        <family val="2"/>
        <scheme val="minor"/>
      </rPr>
      <t>b(1+ω)</t>
    </r>
  </si>
  <si>
    <r>
      <t xml:space="preserve">Ricavi derivanti dai corrispettivi riconosciuti dal CONAI dopo sharing  – </t>
    </r>
    <r>
      <rPr>
        <b/>
        <i/>
        <sz val="12"/>
        <color theme="1"/>
        <rFont val="Calibri"/>
        <family val="2"/>
        <scheme val="minor"/>
      </rPr>
      <t>b(1+ω)AR</t>
    </r>
    <r>
      <rPr>
        <b/>
        <i/>
        <vertAlign val="subscript"/>
        <sz val="12"/>
        <color theme="1"/>
        <rFont val="Calibri"/>
        <family val="2"/>
        <scheme val="minor"/>
      </rPr>
      <t>CONAI</t>
    </r>
  </si>
  <si>
    <r>
      <t>Componente a conguaglio relativa ai costi variabili</t>
    </r>
    <r>
      <rPr>
        <b/>
        <sz val="12"/>
        <color theme="1"/>
        <rFont val="Calibri"/>
        <family val="2"/>
        <scheme val="minor"/>
      </rPr>
      <t xml:space="preserve"> 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</si>
  <si>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Coefficiente di gradualità </t>
    </r>
    <r>
      <rPr>
        <b/>
        <i/>
        <sz val="12"/>
        <color theme="1"/>
        <rFont val="Calibri"/>
        <family val="2"/>
        <scheme val="minor"/>
      </rPr>
      <t>(1+ɣ)</t>
    </r>
  </si>
  <si>
    <r>
      <t>Rateizzazione</t>
    </r>
    <r>
      <rPr>
        <b/>
        <sz val="12"/>
        <color theme="1"/>
        <rFont val="Calibri"/>
        <family val="2"/>
        <scheme val="minor"/>
      </rPr>
      <t xml:space="preserve"> r</t>
    </r>
  </si>
  <si>
    <r>
      <t>Componente a conguaglio relativa ai costi variabili</t>
    </r>
    <r>
      <rPr>
        <b/>
        <i/>
        <sz val="12"/>
        <color theme="1"/>
        <rFont val="Calibri"/>
        <family val="2"/>
        <scheme val="minor"/>
      </rPr>
      <t xml:space="preserve"> –</t>
    </r>
    <r>
      <rPr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(1+ɣ)RC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i/>
        <sz val="12"/>
        <color theme="1"/>
        <rFont val="Calibri"/>
        <family val="2"/>
        <scheme val="minor"/>
      </rPr>
      <t>/r</t>
    </r>
  </si>
  <si>
    <t>Oneri relativi all'IVA indetraibile</t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</si>
  <si>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</t>
    </r>
  </si>
  <si>
    <t>C</t>
  </si>
  <si>
    <r>
      <t xml:space="preserve">Costi dell’attività di spazzamento e di lavaggio – </t>
    </r>
    <r>
      <rPr>
        <b/>
        <sz val="12"/>
        <color theme="1"/>
        <rFont val="Calibri"/>
        <family val="2"/>
        <scheme val="minor"/>
      </rPr>
      <t>CSL</t>
    </r>
  </si>
  <si>
    <r>
      <t xml:space="preserve">                   Costi per l’attività di gestione delle tariffe e dei rapporti con gli utenti - </t>
    </r>
    <r>
      <rPr>
        <b/>
        <sz val="12"/>
        <color theme="1"/>
        <rFont val="Calibri"/>
        <family val="2"/>
        <scheme val="minor"/>
      </rPr>
      <t>CARC</t>
    </r>
  </si>
  <si>
    <r>
      <t xml:space="preserve">                    Costi generali di gestione - </t>
    </r>
    <r>
      <rPr>
        <b/>
        <sz val="12"/>
        <color theme="1"/>
        <rFont val="Calibri"/>
        <family val="2"/>
        <scheme val="minor"/>
      </rPr>
      <t>CGG</t>
    </r>
  </si>
  <si>
    <r>
      <t xml:space="preserve">                    Costi relativi alla quota di crediti inesigibili  - </t>
    </r>
    <r>
      <rPr>
        <b/>
        <sz val="12"/>
        <color theme="1"/>
        <rFont val="Calibri"/>
        <family val="2"/>
        <scheme val="minor"/>
      </rPr>
      <t>CCD</t>
    </r>
  </si>
  <si>
    <r>
      <t xml:space="preserve">                    Altri costi - </t>
    </r>
    <r>
      <rPr>
        <b/>
        <sz val="12"/>
        <color theme="1"/>
        <rFont val="Calibri"/>
        <family val="2"/>
        <scheme val="minor"/>
      </rPr>
      <t>COal</t>
    </r>
  </si>
  <si>
    <r>
      <t xml:space="preserve">Costi comuni – </t>
    </r>
    <r>
      <rPr>
        <b/>
        <sz val="12"/>
        <color theme="1"/>
        <rFont val="Calibri"/>
        <family val="2"/>
        <scheme val="minor"/>
      </rPr>
      <t>CC</t>
    </r>
  </si>
  <si>
    <r>
      <t xml:space="preserve">                   Ammortamenti - </t>
    </r>
    <r>
      <rPr>
        <b/>
        <sz val="12"/>
        <color theme="1"/>
        <rFont val="Calibri"/>
        <family val="2"/>
        <scheme val="minor"/>
      </rPr>
      <t>Amm</t>
    </r>
  </si>
  <si>
    <r>
      <t xml:space="preserve">                  Accantonamenti - </t>
    </r>
    <r>
      <rPr>
        <b/>
        <sz val="12"/>
        <color theme="1"/>
        <rFont val="Calibri"/>
        <family val="2"/>
        <scheme val="minor"/>
      </rPr>
      <t>Acc</t>
    </r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</si>
  <si>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</si>
  <si>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</si>
  <si>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</si>
  <si>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</si>
  <si>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r>
      <t xml:space="preserve">                Remunerazione del capitale investito netto -</t>
    </r>
    <r>
      <rPr>
        <b/>
        <sz val="12"/>
        <color theme="1"/>
        <rFont val="Calibri"/>
        <family val="2"/>
        <scheme val="minor"/>
      </rPr>
      <t xml:space="preserve"> R</t>
    </r>
  </si>
  <si>
    <r>
      <t xml:space="preserve">               Remunerazione delle immobilizzazioni in corso - </t>
    </r>
    <r>
      <rPr>
        <b/>
        <sz val="12"/>
        <color theme="1"/>
        <rFont val="Calibri"/>
        <family val="2"/>
        <scheme val="minor"/>
      </rPr>
      <t>R</t>
    </r>
    <r>
      <rPr>
        <b/>
        <vertAlign val="subscript"/>
        <sz val="12"/>
        <color theme="1"/>
        <rFont val="Calibri"/>
        <family val="2"/>
        <scheme val="minor"/>
      </rPr>
      <t>lic</t>
    </r>
  </si>
  <si>
    <r>
      <t xml:space="preserve"> Costi d'uso del capitale </t>
    </r>
    <r>
      <rPr>
        <b/>
        <sz val="12"/>
        <color theme="1"/>
        <rFont val="Calibri"/>
        <family val="2"/>
        <scheme val="minor"/>
      </rPr>
      <t xml:space="preserve">- CK </t>
    </r>
  </si>
  <si>
    <r>
      <t xml:space="preserve">Costi operativi incentivanti fissi di cui all'articolo 8 del MTR – </t>
    </r>
    <r>
      <rPr>
        <b/>
        <sz val="12"/>
        <color theme="1"/>
        <rFont val="Calibri"/>
        <family val="2"/>
        <scheme val="minor"/>
      </rPr>
      <t>COI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</si>
  <si>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 xml:space="preserve">Componente a conguaglio relativa ai costi fissi </t>
    </r>
    <r>
      <rPr>
        <b/>
        <sz val="12"/>
        <color theme="1"/>
        <rFont val="Calibri"/>
        <family val="2"/>
        <scheme val="minor"/>
      </rPr>
      <t>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</si>
  <si>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>Coefficiente di gradualità</t>
    </r>
    <r>
      <rPr>
        <b/>
        <sz val="12"/>
        <color theme="1"/>
        <rFont val="Calibri"/>
        <family val="2"/>
        <scheme val="minor"/>
      </rPr>
      <t xml:space="preserve"> (1+</t>
    </r>
    <r>
      <rPr>
        <b/>
        <sz val="12"/>
        <color theme="1"/>
        <rFont val="Calibri"/>
        <family val="2"/>
      </rPr>
      <t>ɣ</t>
    </r>
    <r>
      <rPr>
        <b/>
        <sz val="12"/>
        <color theme="1"/>
        <rFont val="Calibri"/>
        <family val="2"/>
        <scheme val="minor"/>
      </rPr>
      <t>)</t>
    </r>
  </si>
  <si>
    <r>
      <t xml:space="preserve">Rateizzazione </t>
    </r>
    <r>
      <rPr>
        <b/>
        <sz val="12"/>
        <color theme="1"/>
        <rFont val="Calibri"/>
        <family val="2"/>
        <scheme val="minor"/>
      </rPr>
      <t>r</t>
    </r>
  </si>
  <si>
    <t xml:space="preserve">Detrazioni di cui al comma 4.5 della Deliberazione 443/2019/R/RIF </t>
  </si>
  <si>
    <t>Gestore</t>
  </si>
  <si>
    <t>Comune</t>
  </si>
  <si>
    <r>
      <t>Componente a conguaglio relativa ai costi fissi</t>
    </r>
    <r>
      <rPr>
        <b/>
        <sz val="12"/>
        <color theme="1"/>
        <rFont val="Calibri"/>
        <family val="2"/>
        <scheme val="minor"/>
      </rPr>
      <t xml:space="preserve"> 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(1+ɣ)RC</t>
    </r>
    <r>
      <rPr>
        <b/>
        <vertAlign val="subscript"/>
        <sz val="12"/>
        <color theme="1"/>
        <rFont val="Calibri"/>
        <family val="2"/>
        <scheme val="minor"/>
      </rPr>
      <t>TF</t>
    </r>
    <r>
      <rPr>
        <b/>
        <sz val="12"/>
        <color theme="1"/>
        <rFont val="Calibri"/>
        <family val="2"/>
        <scheme val="minor"/>
      </rPr>
      <t>/r</t>
    </r>
  </si>
  <si>
    <t>Detrazioni su quota VARIABILE</t>
  </si>
  <si>
    <t>Detrazioni su quota FISSA</t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</si>
  <si>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</t>
    </r>
  </si>
  <si>
    <t>Detrazioni di cui al comma 4.5 della Deliberazione 443/2019/R/RIF</t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</si>
  <si>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</si>
  <si>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t>Detrazioni di cui al comma 1.4 della Determina n. 2/DRIF/2020</t>
  </si>
  <si>
    <t>Componenti facoltative Deliberazione 238/2020/R/rif</t>
  </si>
  <si>
    <r>
      <t xml:space="preserve">Scostamento atteso dei costi variabili di cui all'articolo 7 bis del MTR– </t>
    </r>
    <r>
      <rPr>
        <b/>
        <sz val="12"/>
        <color theme="1"/>
        <rFont val="Calibri"/>
        <family val="2"/>
        <scheme val="minor"/>
      </rPr>
      <t>COV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</si>
  <si>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t>facoltativo</t>
  </si>
  <si>
    <r>
      <t xml:space="preserve">Oneri variabili per la tutela delle utenze domestiche di cui al comma 7 ter.1 del MTR– </t>
    </r>
    <r>
      <rPr>
        <b/>
        <sz val="12"/>
        <color theme="1"/>
        <rFont val="Calibri"/>
        <family val="2"/>
        <scheme val="minor"/>
      </rPr>
      <t>COS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</si>
  <si>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(ex Deliberazione 238/2020/R/rif)</t>
    </r>
  </si>
  <si>
    <t>incluse detrazioni 4.5 per parte variabile</t>
  </si>
  <si>
    <r>
      <t xml:space="preserve">Scostamento atteso dei costi variabili di cui all'articolo 7 bis del MTR– </t>
    </r>
    <r>
      <rPr>
        <b/>
        <sz val="12"/>
        <color theme="1"/>
        <rFont val="Calibri"/>
        <family val="2"/>
        <scheme val="minor"/>
      </rPr>
      <t>COV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</si>
  <si>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  (ex Deliberazione 238/2020/R/rif)</t>
    </r>
  </si>
  <si>
    <t>incluse detrazioni 4.5 parte fissa</t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</si>
  <si>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 (ex Deliberazione 238/2020/R/rif al lordo della componente di rinvio RCND</t>
    </r>
    <r>
      <rPr>
        <b/>
        <vertAlign val="subscript"/>
        <sz val="12"/>
        <color theme="1"/>
        <rFont val="Calibri"/>
        <family val="2"/>
        <scheme val="minor"/>
      </rPr>
      <t>TV</t>
    </r>
    <r>
      <rPr>
        <b/>
        <sz val="12"/>
        <color theme="1"/>
        <rFont val="Calibri"/>
        <family val="2"/>
        <scheme val="minor"/>
      </rPr>
      <t>)</t>
    </r>
  </si>
  <si>
    <r>
      <t>Valorizzazione della componente di cui all'art. 7 ter.2 del MTR – RCND</t>
    </r>
    <r>
      <rPr>
        <b/>
        <i/>
        <vertAlign val="subscript"/>
        <sz val="11"/>
        <color rgb="FFC00000"/>
        <rFont val="Calibri"/>
        <family val="2"/>
        <scheme val="minor"/>
      </rPr>
      <t>TV</t>
    </r>
  </si>
  <si>
    <r>
      <t xml:space="preserve">Componente di rinvio di cui all'art. 7 ter.2 del MTR </t>
    </r>
    <r>
      <rPr>
        <b/>
        <sz val="12"/>
        <color theme="1"/>
        <rFont val="Calibri"/>
        <family val="2"/>
        <scheme val="minor"/>
      </rPr>
      <t>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RCND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</si>
  <si>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 al netto della componente di rinvio RCND</t>
    </r>
    <r>
      <rPr>
        <b/>
        <vertAlign val="subscript"/>
        <sz val="12"/>
        <color theme="1"/>
        <rFont val="Calibri"/>
        <family val="2"/>
        <scheme val="minor"/>
      </rPr>
      <t>TV</t>
    </r>
  </si>
  <si>
    <t>Verifica rispetto del limite alla crescita delle entrate tariffarie post rimodulazione in caso di sovra-cap</t>
  </si>
  <si>
    <t xml:space="preserve">Grandezze fisico-tecniche </t>
  </si>
  <si>
    <t>% rd</t>
  </si>
  <si>
    <r>
      <t>q</t>
    </r>
    <r>
      <rPr>
        <i/>
        <vertAlign val="subscript"/>
        <sz val="12"/>
        <color theme="1"/>
        <rFont val="Calibri"/>
        <family val="2"/>
        <scheme val="minor"/>
      </rPr>
      <t>a-2</t>
    </r>
  </si>
  <si>
    <t>Controllo vincolo crescita quota variabile (art 3 MTR)</t>
  </si>
  <si>
    <t>costo unitario effettivo - Cueff  €cent/kg</t>
  </si>
  <si>
    <t>fabbisogno standard €cent/kg</t>
  </si>
  <si>
    <t>Quota di TV che supera il vincolo da imputare a TF (e sottrarre a quota variabile)</t>
  </si>
  <si>
    <t xml:space="preserve">costo medio settore €cent/kg </t>
  </si>
  <si>
    <t>Quota di TF da imputrare a TV per raggiungere il vincolo (e sottrarre quota fissa)</t>
  </si>
  <si>
    <t>Coefficiente di gradualità</t>
  </si>
  <si>
    <r>
      <t xml:space="preserve">valutazione rispetto agli obiettivi di rd  - </t>
    </r>
    <r>
      <rPr>
        <b/>
        <sz val="12"/>
        <color theme="1"/>
        <rFont val="Symbol"/>
        <family val="1"/>
        <charset val="2"/>
      </rPr>
      <t>g</t>
    </r>
    <r>
      <rPr>
        <b/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</t>
    </r>
  </si>
  <si>
    <t>Riclassificazione dei costi fissi e variabili per il rispetto condizione art. 3 MTR</t>
  </si>
  <si>
    <r>
      <t xml:space="preserve">valutazione rispetto all' efficacia dell' attività di preparazione per il riutilizzo e riciclo  - </t>
    </r>
    <r>
      <rPr>
        <b/>
        <sz val="12"/>
        <color theme="1"/>
        <rFont val="Symbol"/>
        <family val="1"/>
        <charset val="2"/>
      </rPr>
      <t>g</t>
    </r>
    <r>
      <rPr>
        <b/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</t>
    </r>
  </si>
  <si>
    <r>
      <rPr>
        <sz val="12"/>
        <color theme="1"/>
        <rFont val="Calibri"/>
        <family val="2"/>
        <scheme val="minor"/>
      </rPr>
      <t xml:space="preserve">riclassifica </t>
    </r>
    <r>
      <rPr>
        <b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</si>
  <si>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valutazione rispetto alla soddisfazione degli utenti del servizio  - </t>
    </r>
    <r>
      <rPr>
        <b/>
        <sz val="12"/>
        <color theme="1"/>
        <rFont val="Symbol"/>
        <family val="1"/>
        <charset val="2"/>
      </rPr>
      <t>g</t>
    </r>
    <r>
      <rPr>
        <b/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</t>
    </r>
  </si>
  <si>
    <r>
      <rPr>
        <sz val="12"/>
        <color theme="1"/>
        <rFont val="Calibri"/>
        <family val="2"/>
        <scheme val="minor"/>
      </rPr>
      <t>riclassifica</t>
    </r>
    <r>
      <rPr>
        <b/>
        <sz val="12"/>
        <color theme="1"/>
        <rFont val="Calibri"/>
        <family val="2"/>
        <scheme val="minor"/>
      </rPr>
      <t xml:space="preserve"> 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</si>
  <si>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r>
      <t xml:space="preserve">Totale </t>
    </r>
    <r>
      <rPr>
        <b/>
        <sz val="12"/>
        <color theme="1"/>
        <rFont val="Symbol"/>
        <family val="1"/>
        <charset val="2"/>
      </rPr>
      <t>g</t>
    </r>
  </si>
  <si>
    <r>
      <t xml:space="preserve">Coefficiente di gradualità </t>
    </r>
    <r>
      <rPr>
        <b/>
        <sz val="12"/>
        <color theme="1"/>
        <rFont val="Arial"/>
        <family val="2"/>
      </rPr>
      <t>(1+</t>
    </r>
    <r>
      <rPr>
        <b/>
        <sz val="12"/>
        <color theme="1"/>
        <rFont val="Symbol"/>
        <family val="1"/>
        <charset val="2"/>
      </rPr>
      <t>g</t>
    </r>
    <r>
      <rPr>
        <b/>
        <sz val="12"/>
        <color theme="1"/>
        <rFont val="Arial"/>
        <family val="2"/>
      </rPr>
      <t>)</t>
    </r>
  </si>
  <si>
    <t>Verifica del limite di crescita</t>
  </si>
  <si>
    <r>
      <t>rpi</t>
    </r>
    <r>
      <rPr>
        <i/>
        <vertAlign val="subscript"/>
        <sz val="12"/>
        <color theme="1"/>
        <rFont val="Calibri"/>
        <family val="2"/>
        <scheme val="minor"/>
      </rPr>
      <t>a</t>
    </r>
  </si>
  <si>
    <t>MTR</t>
  </si>
  <si>
    <r>
      <t xml:space="preserve">coefficiente di recupero di produttività - </t>
    </r>
    <r>
      <rPr>
        <b/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</si>
  <si>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>coeff. per il miglioramento previsto della qualità -</t>
    </r>
    <r>
      <rPr>
        <b/>
        <sz val="12"/>
        <color theme="1"/>
        <rFont val="Calibri"/>
        <family val="2"/>
        <scheme val="minor"/>
      </rPr>
      <t xml:space="preserve"> QL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</si>
  <si>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coeff. per la valorizzazione di modifiche del perimetro gestionale  - </t>
    </r>
    <r>
      <rPr>
        <b/>
        <sz val="12"/>
        <color theme="1"/>
        <rFont val="Calibri"/>
        <family val="2"/>
        <scheme val="minor"/>
      </rPr>
      <t>PG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</si>
  <si>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coeff. per l'emergenza COVID-19 - </t>
    </r>
    <r>
      <rPr>
        <b/>
        <sz val="12"/>
        <color theme="1"/>
        <rFont val="Calibri"/>
        <family val="2"/>
        <scheme val="minor"/>
      </rPr>
      <t>C19</t>
    </r>
    <r>
      <rPr>
        <b/>
        <vertAlign val="subscript"/>
        <sz val="12"/>
        <color theme="1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</si>
  <si>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Parametro per la determinazione del limite alla crescita delle tariffe - </t>
    </r>
    <r>
      <rPr>
        <b/>
        <sz val="12"/>
        <color theme="1"/>
        <rFont val="Symbol"/>
        <family val="1"/>
        <charset val="2"/>
      </rPr>
      <t>r</t>
    </r>
  </si>
  <si>
    <r>
      <t>(1+</t>
    </r>
    <r>
      <rPr>
        <b/>
        <sz val="12"/>
        <color theme="1"/>
        <rFont val="Symbol"/>
        <family val="1"/>
        <charset val="2"/>
      </rPr>
      <t>r</t>
    </r>
    <r>
      <rPr>
        <b/>
        <sz val="12"/>
        <color theme="1"/>
        <rFont val="Calibri"/>
        <family val="2"/>
        <scheme val="minor"/>
      </rPr>
      <t>)</t>
    </r>
  </si>
  <si>
    <r>
      <t xml:space="preserve"> ∑T</t>
    </r>
    <r>
      <rPr>
        <vertAlign val="subscript"/>
        <sz val="12"/>
        <color theme="1"/>
        <rFont val="Calibri"/>
        <family val="2"/>
        <scheme val="minor"/>
      </rPr>
      <t>a</t>
    </r>
  </si>
  <si>
    <r>
      <t xml:space="preserve"> ∑TV</t>
    </r>
    <r>
      <rPr>
        <vertAlign val="subscript"/>
        <sz val="12"/>
        <color theme="1"/>
        <rFont val="Calibri"/>
        <family val="2"/>
        <scheme val="minor"/>
      </rPr>
      <t>a-1</t>
    </r>
  </si>
  <si>
    <t>La componente è al lordo delle detrazioni MIUR, recupero avasione, agevolazioni</t>
  </si>
  <si>
    <r>
      <t xml:space="preserve"> ∑TF</t>
    </r>
    <r>
      <rPr>
        <vertAlign val="subscript"/>
        <sz val="12"/>
        <color theme="1"/>
        <rFont val="Calibri"/>
        <family val="2"/>
        <scheme val="minor"/>
      </rPr>
      <t>a-1</t>
    </r>
  </si>
  <si>
    <r>
      <t xml:space="preserve"> ∑T</t>
    </r>
    <r>
      <rPr>
        <vertAlign val="subscript"/>
        <sz val="12"/>
        <color theme="1"/>
        <rFont val="Calibri"/>
        <family val="2"/>
        <scheme val="minor"/>
      </rPr>
      <t>a-1</t>
    </r>
  </si>
  <si>
    <r>
      <t xml:space="preserve"> 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/ ∑T</t>
    </r>
    <r>
      <rPr>
        <b/>
        <vertAlign val="subscript"/>
        <sz val="12"/>
        <color theme="1"/>
        <rFont val="Calibri"/>
        <family val="2"/>
        <scheme val="minor"/>
      </rPr>
      <t>a-1</t>
    </r>
  </si>
  <si>
    <t>∑Tmax  (entrate tariffarie massime applicabili nel rispetto del limite di crescita)</t>
  </si>
  <si>
    <t>delta ( ∑Ta-∑Tmax)</t>
  </si>
  <si>
    <t xml:space="preserve">Attività esterne Ciclo integrato RU </t>
  </si>
  <si>
    <t>Comune di Borgo Ticino</t>
  </si>
  <si>
    <t>PEF finale con IVA sul Comune</t>
  </si>
  <si>
    <t>MNA</t>
  </si>
  <si>
    <t>CBMN</t>
  </si>
  <si>
    <t>COMUNE</t>
  </si>
  <si>
    <t>IVA MNA</t>
  </si>
  <si>
    <t>IVA Consorzio</t>
  </si>
  <si>
    <t>Borgo Ticino</t>
  </si>
  <si>
    <t>TOTALE PEF (ante Detrazioni di cui al comma 1.4 della Determina n. 2/DRIF/2020)</t>
  </si>
  <si>
    <t>Detrazioni di cui al comma 1.4 della Determina 2/DRIF/2020</t>
  </si>
  <si>
    <t>contributi MIUR</t>
  </si>
  <si>
    <t>Totale detrazioni di cui al comma 1.4 della Determina 2/DRIF/2020</t>
  </si>
  <si>
    <t>TOTALE PEF</t>
  </si>
  <si>
    <t>Dettaglio IVA (inserita nei costi del Comune)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</si>
</sst>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-* #,##0\ _€_-;\-* #,##0\ _€_-;_-* &quot;-&quot;??\ _€_-;_-@_-"/>
    <numFmt numFmtId="167" formatCode="0.0%"/>
    <numFmt numFmtId="168" formatCode="_-* #,##0.000_-;\-* #,##0.000_-;_-* &quot;-&quot;??_-;_-@_-"/>
    <numFmt numFmtId="169" formatCode="_-* #,##0.000\ _€_-;\-* #,##0.000\ _€_-;_-* &quot;-&quot;??\ _€_-;_-@_-"/>
    <numFmt numFmtId="170" formatCode="0.0"/>
    <numFmt numFmtId="171" formatCode="_-&quot;€&quot;\ * #,##0.00_-;\-&quot;€&quot;\ * #,##0.00_-;_-&quot;€&quot;\ 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vertAlign val="subscript"/>
      <sz val="11"/>
      <color rgb="FFC00000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Symbol"/>
      <family val="1"/>
      <charset val="2"/>
    </font>
    <font>
      <b/>
      <vertAlign val="subscript"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C00000"/>
      <name val="Arial"/>
      <family val="2"/>
    </font>
    <font>
      <b/>
      <sz val="11"/>
      <color rgb="FFC00000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0"/>
      </patternFill>
    </fill>
    <fill>
      <patternFill patternType="solid">
        <fgColor rgb="FF02A78C"/>
        <bgColor indexed="64"/>
      </patternFill>
    </fill>
    <fill>
      <patternFill patternType="lightGray">
        <fgColor theme="1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41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/>
    <xf numFmtId="0" fontId="5" fillId="2" borderId="2" xfId="0" applyFont="1" applyFill="1" applyBorder="1"/>
    <xf numFmtId="0" fontId="5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0" xfId="0" applyFill="1"/>
    <xf numFmtId="0" fontId="8" fillId="2" borderId="3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0" borderId="0" xfId="0" applyFont="1"/>
    <xf numFmtId="0" fontId="11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8" xfId="0" applyFont="1" applyFill="1" applyBorder="1"/>
    <xf numFmtId="0" fontId="8" fillId="2" borderId="11" xfId="0" applyFont="1" applyFill="1" applyBorder="1"/>
    <xf numFmtId="0" fontId="14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2" borderId="0" xfId="3" applyFill="1" applyBorder="1"/>
    <xf numFmtId="0" fontId="8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65" fontId="1" fillId="2" borderId="15" xfId="1" applyNumberFormat="1" applyFont="1" applyFill="1" applyBorder="1" applyAlignment="1" applyProtection="1">
      <alignment horizontal="center" vertical="center"/>
      <protection locked="0"/>
    </xf>
    <xf numFmtId="165" fontId="1" fillId="3" borderId="15" xfId="1" applyNumberFormat="1" applyFont="1" applyFill="1" applyBorder="1" applyAlignment="1">
      <alignment horizontal="center" vertical="center"/>
    </xf>
    <xf numFmtId="165" fontId="0" fillId="2" borderId="16" xfId="1" applyNumberFormat="1" applyFont="1" applyFill="1" applyBorder="1" applyAlignment="1">
      <alignment horizontal="center" vertical="center"/>
    </xf>
    <xf numFmtId="0" fontId="8" fillId="2" borderId="16" xfId="0" applyFont="1" applyFill="1" applyBorder="1"/>
    <xf numFmtId="165" fontId="8" fillId="2" borderId="16" xfId="0" applyNumberFormat="1" applyFont="1" applyFill="1" applyBorder="1"/>
    <xf numFmtId="0" fontId="0" fillId="4" borderId="16" xfId="0" applyFill="1" applyBorder="1" applyAlignment="1">
      <alignment horizontal="center" vertical="center"/>
    </xf>
    <xf numFmtId="165" fontId="0" fillId="3" borderId="16" xfId="1" applyNumberFormat="1" applyFont="1" applyFill="1" applyBorder="1" applyAlignment="1">
      <alignment horizontal="center" vertical="center"/>
    </xf>
    <xf numFmtId="165" fontId="4" fillId="5" borderId="16" xfId="1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8" fillId="2" borderId="17" xfId="0" applyFont="1" applyFill="1" applyBorder="1"/>
    <xf numFmtId="0" fontId="8" fillId="2" borderId="18" xfId="0" applyFont="1" applyFill="1" applyBorder="1" applyAlignment="1">
      <alignment vertical="center"/>
    </xf>
    <xf numFmtId="0" fontId="8" fillId="6" borderId="17" xfId="0" applyFont="1" applyFill="1" applyBorder="1"/>
    <xf numFmtId="0" fontId="8" fillId="6" borderId="19" xfId="0" applyFont="1" applyFill="1" applyBorder="1"/>
    <xf numFmtId="0" fontId="8" fillId="0" borderId="14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7" borderId="15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8" fillId="6" borderId="20" xfId="0" applyFont="1" applyFill="1" applyBorder="1"/>
    <xf numFmtId="0" fontId="8" fillId="6" borderId="21" xfId="0" applyFont="1" applyFill="1" applyBorder="1"/>
    <xf numFmtId="0" fontId="20" fillId="0" borderId="0" xfId="0" applyFont="1" applyAlignment="1">
      <alignment horizontal="center" vertical="center"/>
    </xf>
    <xf numFmtId="0" fontId="22" fillId="2" borderId="0" xfId="0" applyFont="1" applyFill="1"/>
    <xf numFmtId="0" fontId="22" fillId="2" borderId="14" xfId="0" applyFont="1" applyFill="1" applyBorder="1" applyAlignment="1">
      <alignment vertical="center"/>
    </xf>
    <xf numFmtId="0" fontId="8" fillId="6" borderId="22" xfId="0" applyFont="1" applyFill="1" applyBorder="1"/>
    <xf numFmtId="0" fontId="8" fillId="6" borderId="23" xfId="0" applyFont="1" applyFill="1" applyBorder="1"/>
    <xf numFmtId="0" fontId="8" fillId="2" borderId="22" xfId="0" applyFont="1" applyFill="1" applyBorder="1"/>
    <xf numFmtId="0" fontId="12" fillId="5" borderId="12" xfId="0" applyFont="1" applyFill="1" applyBorder="1" applyAlignment="1">
      <alignment vertical="center"/>
    </xf>
    <xf numFmtId="0" fontId="12" fillId="5" borderId="13" xfId="0" applyFont="1" applyFill="1" applyBorder="1" applyAlignment="1">
      <alignment horizontal="center" vertical="center"/>
    </xf>
    <xf numFmtId="165" fontId="4" fillId="5" borderId="24" xfId="1" applyNumberFormat="1" applyFont="1" applyFill="1" applyBorder="1" applyAlignment="1">
      <alignment horizontal="center" vertical="center"/>
    </xf>
    <xf numFmtId="0" fontId="8" fillId="6" borderId="25" xfId="0" applyFont="1" applyFill="1" applyBorder="1"/>
    <xf numFmtId="0" fontId="8" fillId="6" borderId="26" xfId="0" applyFont="1" applyFill="1" applyBorder="1"/>
    <xf numFmtId="0" fontId="8" fillId="2" borderId="8" xfId="0" applyFont="1" applyFill="1" applyBorder="1" applyProtection="1">
      <protection locked="0"/>
    </xf>
    <xf numFmtId="0" fontId="12" fillId="2" borderId="27" xfId="0" applyFont="1" applyFill="1" applyBorder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65" fontId="1" fillId="2" borderId="11" xfId="1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 applyProtection="1">
      <alignment horizontal="center" vertical="center"/>
      <protection locked="0"/>
    </xf>
    <xf numFmtId="165" fontId="1" fillId="3" borderId="28" xfId="1" applyNumberFormat="1" applyFont="1" applyFill="1" applyBorder="1" applyAlignment="1">
      <alignment horizontal="center" vertical="center"/>
    </xf>
    <xf numFmtId="165" fontId="1" fillId="3" borderId="26" xfId="1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vertical="center"/>
    </xf>
    <xf numFmtId="0" fontId="12" fillId="2" borderId="30" xfId="0" applyFont="1" applyFill="1" applyBorder="1" applyAlignment="1">
      <alignment horizontal="center" vertical="center"/>
    </xf>
    <xf numFmtId="165" fontId="1" fillId="2" borderId="30" xfId="1" applyNumberFormat="1" applyFont="1" applyFill="1" applyBorder="1" applyAlignment="1" applyProtection="1">
      <alignment horizontal="center" vertical="center"/>
      <protection locked="0"/>
    </xf>
    <xf numFmtId="165" fontId="1" fillId="3" borderId="31" xfId="1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12" fillId="2" borderId="34" xfId="0" applyFont="1" applyFill="1" applyBorder="1" applyAlignment="1">
      <alignment horizontal="center" vertical="center"/>
    </xf>
    <xf numFmtId="165" fontId="1" fillId="3" borderId="35" xfId="1" applyNumberFormat="1" applyFont="1" applyFill="1" applyBorder="1" applyAlignment="1">
      <alignment horizontal="center" vertical="center"/>
    </xf>
    <xf numFmtId="165" fontId="1" fillId="3" borderId="36" xfId="1" applyNumberFormat="1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165" fontId="1" fillId="2" borderId="37" xfId="1" applyNumberFormat="1" applyFont="1" applyFill="1" applyBorder="1" applyAlignment="1" applyProtection="1">
      <alignment horizontal="center" vertical="center"/>
      <protection locked="0"/>
    </xf>
    <xf numFmtId="0" fontId="8" fillId="2" borderId="29" xfId="0" quotePrefix="1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165" fontId="1" fillId="2" borderId="13" xfId="1" applyNumberFormat="1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/>
    <xf numFmtId="0" fontId="12" fillId="2" borderId="8" xfId="0" applyFont="1" applyFill="1" applyBorder="1"/>
    <xf numFmtId="0" fontId="12" fillId="2" borderId="16" xfId="0" applyFont="1" applyFill="1" applyBorder="1"/>
    <xf numFmtId="165" fontId="1" fillId="3" borderId="39" xfId="1" applyNumberFormat="1" applyFont="1" applyFill="1" applyBorder="1" applyAlignment="1">
      <alignment horizontal="center" vertical="center"/>
    </xf>
    <xf numFmtId="165" fontId="4" fillId="5" borderId="13" xfId="1" applyNumberFormat="1" applyFont="1" applyFill="1" applyBorder="1" applyAlignment="1">
      <alignment horizontal="center" vertical="center"/>
    </xf>
    <xf numFmtId="165" fontId="4" fillId="5" borderId="39" xfId="1" applyNumberFormat="1" applyFont="1" applyFill="1" applyBorder="1" applyAlignment="1">
      <alignment horizontal="center" vertical="center"/>
    </xf>
    <xf numFmtId="0" fontId="8" fillId="8" borderId="16" xfId="0" applyFont="1" applyFill="1" applyBorder="1"/>
    <xf numFmtId="0" fontId="8" fillId="6" borderId="39" xfId="0" applyFont="1" applyFill="1" applyBorder="1"/>
    <xf numFmtId="166" fontId="8" fillId="2" borderId="0" xfId="1" applyNumberFormat="1" applyFont="1" applyFill="1"/>
    <xf numFmtId="0" fontId="8" fillId="6" borderId="38" xfId="0" applyFont="1" applyFill="1" applyBorder="1"/>
    <xf numFmtId="0" fontId="12" fillId="5" borderId="40" xfId="0" applyFont="1" applyFill="1" applyBorder="1" applyAlignment="1">
      <alignment vertical="center"/>
    </xf>
    <xf numFmtId="0" fontId="12" fillId="5" borderId="24" xfId="0" applyFont="1" applyFill="1" applyBorder="1" applyAlignment="1">
      <alignment horizontal="center" vertical="center"/>
    </xf>
    <xf numFmtId="165" fontId="4" fillId="5" borderId="41" xfId="1" applyNumberFormat="1" applyFont="1" applyFill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0" fontId="12" fillId="2" borderId="42" xfId="0" applyFont="1" applyFill="1" applyBorder="1" applyAlignment="1">
      <alignment horizontal="center" vertical="center"/>
    </xf>
    <xf numFmtId="165" fontId="1" fillId="2" borderId="43" xfId="1" applyNumberFormat="1" applyFont="1" applyFill="1" applyBorder="1" applyAlignment="1" applyProtection="1">
      <alignment horizontal="center" vertical="center"/>
      <protection locked="0"/>
    </xf>
    <xf numFmtId="165" fontId="1" fillId="3" borderId="44" xfId="1" applyNumberFormat="1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vertical="center"/>
    </xf>
    <xf numFmtId="0" fontId="24" fillId="2" borderId="8" xfId="0" applyFont="1" applyFill="1" applyBorder="1" applyProtection="1">
      <protection locked="0"/>
    </xf>
    <xf numFmtId="0" fontId="25" fillId="2" borderId="0" xfId="0" applyFont="1" applyFill="1" applyAlignment="1">
      <alignment horizontal="center"/>
    </xf>
    <xf numFmtId="0" fontId="12" fillId="2" borderId="45" xfId="0" applyFont="1" applyFill="1" applyBorder="1" applyAlignment="1">
      <alignment horizontal="center" vertical="center"/>
    </xf>
    <xf numFmtId="165" fontId="1" fillId="3" borderId="28" xfId="1" applyNumberFormat="1" applyFont="1" applyFill="1" applyBorder="1" applyAlignment="1" applyProtection="1">
      <alignment horizontal="center" vertical="center"/>
      <protection locked="0"/>
    </xf>
    <xf numFmtId="165" fontId="1" fillId="3" borderId="16" xfId="1" applyNumberFormat="1" applyFont="1" applyFill="1" applyBorder="1" applyAlignment="1">
      <alignment horizontal="center" vertical="center"/>
    </xf>
    <xf numFmtId="165" fontId="1" fillId="3" borderId="39" xfId="1" applyNumberFormat="1" applyFont="1" applyFill="1" applyBorder="1" applyAlignment="1" applyProtection="1">
      <alignment horizontal="center" vertical="center"/>
      <protection locked="0"/>
    </xf>
    <xf numFmtId="165" fontId="4" fillId="5" borderId="13" xfId="1" applyNumberFormat="1" applyFont="1" applyFill="1" applyBorder="1" applyAlignment="1" applyProtection="1">
      <alignment horizontal="center" vertical="center"/>
      <protection locked="0"/>
    </xf>
    <xf numFmtId="165" fontId="4" fillId="5" borderId="39" xfId="1" applyNumberFormat="1" applyFont="1" applyFill="1" applyBorder="1" applyAlignment="1" applyProtection="1">
      <alignment horizontal="center" vertical="center"/>
      <protection locked="0"/>
    </xf>
    <xf numFmtId="165" fontId="4" fillId="5" borderId="24" xfId="1" applyNumberFormat="1" applyFont="1" applyFill="1" applyBorder="1" applyAlignment="1" applyProtection="1">
      <alignment horizontal="center" vertical="center"/>
      <protection locked="0"/>
    </xf>
    <xf numFmtId="165" fontId="4" fillId="5" borderId="41" xfId="1" applyNumberFormat="1" applyFont="1" applyFill="1" applyBorder="1" applyAlignment="1" applyProtection="1">
      <alignment horizontal="center" vertical="center"/>
      <protection locked="0"/>
    </xf>
    <xf numFmtId="0" fontId="26" fillId="2" borderId="8" xfId="0" applyFont="1" applyFill="1" applyBorder="1" applyProtection="1">
      <protection locked="0"/>
    </xf>
    <xf numFmtId="0" fontId="12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12" fillId="2" borderId="46" xfId="0" applyFont="1" applyFill="1" applyBorder="1" applyAlignment="1">
      <alignment horizontal="center" vertical="center"/>
    </xf>
    <xf numFmtId="0" fontId="0" fillId="4" borderId="47" xfId="0" applyFill="1" applyBorder="1" applyAlignment="1" applyProtection="1">
      <alignment horizontal="center" vertical="center"/>
      <protection locked="0"/>
    </xf>
    <xf numFmtId="166" fontId="1" fillId="2" borderId="46" xfId="1" applyNumberFormat="1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9" fontId="1" fillId="0" borderId="10" xfId="2" applyFont="1" applyFill="1" applyBorder="1" applyAlignment="1" applyProtection="1">
      <alignment horizontal="center" vertical="center"/>
      <protection locked="0"/>
    </xf>
    <xf numFmtId="0" fontId="0" fillId="4" borderId="49" xfId="0" applyFill="1" applyBorder="1" applyAlignment="1">
      <alignment horizontal="center" vertical="center"/>
    </xf>
    <xf numFmtId="0" fontId="8" fillId="6" borderId="16" xfId="0" applyFont="1" applyFill="1" applyBorder="1"/>
    <xf numFmtId="166" fontId="8" fillId="2" borderId="16" xfId="0" applyNumberFormat="1" applyFont="1" applyFill="1" applyBorder="1"/>
    <xf numFmtId="0" fontId="25" fillId="2" borderId="8" xfId="0" applyFont="1" applyFill="1" applyBorder="1" applyProtection="1">
      <protection locked="0"/>
    </xf>
    <xf numFmtId="0" fontId="25" fillId="2" borderId="0" xfId="0" applyFont="1" applyFill="1" applyAlignment="1" applyProtection="1">
      <alignment horizontal="center"/>
      <protection locked="0"/>
    </xf>
    <xf numFmtId="0" fontId="25" fillId="2" borderId="11" xfId="0" applyFont="1" applyFill="1" applyBorder="1" applyAlignment="1" applyProtection="1">
      <alignment horizontal="center"/>
      <protection locked="0"/>
    </xf>
    <xf numFmtId="0" fontId="0" fillId="4" borderId="50" xfId="0" applyFill="1" applyBorder="1" applyAlignment="1">
      <alignment horizontal="center" vertical="center"/>
    </xf>
    <xf numFmtId="9" fontId="1" fillId="0" borderId="51" xfId="2" applyFont="1" applyFill="1" applyBorder="1" applyAlignment="1" applyProtection="1">
      <alignment horizontal="center" vertical="center"/>
      <protection locked="0"/>
    </xf>
    <xf numFmtId="0" fontId="22" fillId="0" borderId="12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166" fontId="6" fillId="7" borderId="52" xfId="1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164" fontId="6" fillId="7" borderId="12" xfId="1" applyNumberFormat="1" applyFont="1" applyFill="1" applyBorder="1" applyAlignment="1" applyProtection="1">
      <alignment horizontal="center" vertical="center"/>
      <protection locked="0"/>
    </xf>
    <xf numFmtId="0" fontId="0" fillId="4" borderId="52" xfId="0" applyFill="1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12" fillId="0" borderId="24" xfId="0" applyFont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0" borderId="54" xfId="0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6" fillId="7" borderId="50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29" fillId="0" borderId="12" xfId="0" applyFont="1" applyBorder="1" applyAlignment="1">
      <alignment vertical="center"/>
    </xf>
    <xf numFmtId="0" fontId="6" fillId="7" borderId="52" xfId="0" applyFont="1" applyFill="1" applyBorder="1" applyAlignment="1" applyProtection="1">
      <alignment horizontal="center" vertical="center"/>
      <protection locked="0"/>
    </xf>
    <xf numFmtId="0" fontId="8" fillId="9" borderId="6" xfId="0" applyFont="1" applyFill="1" applyBorder="1" applyAlignment="1">
      <alignment vertical="center"/>
    </xf>
    <xf numFmtId="0" fontId="8" fillId="9" borderId="40" xfId="0" applyFont="1" applyFill="1" applyBorder="1" applyAlignment="1">
      <alignment vertical="center"/>
    </xf>
    <xf numFmtId="0" fontId="32" fillId="2" borderId="0" xfId="0" applyFont="1" applyFill="1" applyAlignment="1">
      <alignment horizontal="center" vertical="center"/>
    </xf>
    <xf numFmtId="0" fontId="4" fillId="5" borderId="55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33" fillId="2" borderId="8" xfId="0" applyFont="1" applyFill="1" applyBorder="1" applyProtection="1">
      <protection locked="0"/>
    </xf>
    <xf numFmtId="0" fontId="34" fillId="2" borderId="0" xfId="0" applyFont="1" applyFill="1" applyAlignment="1" applyProtection="1">
      <alignment horizontal="center"/>
      <protection locked="0"/>
    </xf>
    <xf numFmtId="0" fontId="22" fillId="10" borderId="3" xfId="0" applyFont="1" applyFill="1" applyBorder="1"/>
    <xf numFmtId="0" fontId="12" fillId="10" borderId="56" xfId="0" applyFont="1" applyFill="1" applyBorder="1" applyAlignment="1">
      <alignment horizontal="center"/>
    </xf>
    <xf numFmtId="0" fontId="0" fillId="4" borderId="45" xfId="0" applyFill="1" applyBorder="1" applyAlignment="1">
      <alignment horizontal="center" vertical="center"/>
    </xf>
    <xf numFmtId="167" fontId="1" fillId="10" borderId="51" xfId="2" applyNumberFormat="1" applyFont="1" applyFill="1" applyBorder="1" applyAlignment="1">
      <alignment horizontal="center"/>
    </xf>
    <xf numFmtId="10" fontId="1" fillId="0" borderId="25" xfId="0" applyNumberFormat="1" applyFont="1" applyBorder="1" applyAlignment="1" applyProtection="1">
      <alignment horizontal="center" vertical="center"/>
      <protection locked="0"/>
    </xf>
    <xf numFmtId="0" fontId="0" fillId="4" borderId="15" xfId="0" applyFill="1" applyBorder="1" applyAlignment="1">
      <alignment horizontal="center" vertical="center"/>
    </xf>
    <xf numFmtId="167" fontId="4" fillId="5" borderId="25" xfId="2" applyNumberFormat="1" applyFont="1" applyFill="1" applyBorder="1" applyAlignment="1">
      <alignment horizontal="center" vertical="center"/>
    </xf>
    <xf numFmtId="168" fontId="4" fillId="5" borderId="25" xfId="1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0" fontId="12" fillId="5" borderId="37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5" fontId="1" fillId="0" borderId="15" xfId="1" applyNumberFormat="1" applyFont="1" applyFill="1" applyBorder="1" applyAlignment="1" applyProtection="1">
      <alignment horizontal="center" vertical="center"/>
      <protection locked="0"/>
    </xf>
    <xf numFmtId="165" fontId="1" fillId="5" borderId="25" xfId="1" applyNumberFormat="1" applyFont="1" applyFill="1" applyBorder="1" applyAlignment="1">
      <alignment horizontal="center"/>
    </xf>
    <xf numFmtId="0" fontId="8" fillId="9" borderId="12" xfId="0" applyFont="1" applyFill="1" applyBorder="1" applyAlignment="1">
      <alignment vertical="center"/>
    </xf>
    <xf numFmtId="0" fontId="12" fillId="9" borderId="37" xfId="0" applyFont="1" applyFill="1" applyBorder="1" applyAlignment="1">
      <alignment horizontal="center"/>
    </xf>
    <xf numFmtId="0" fontId="0" fillId="4" borderId="24" xfId="0" applyFill="1" applyBorder="1" applyAlignment="1">
      <alignment horizontal="center" vertical="center"/>
    </xf>
    <xf numFmtId="165" fontId="1" fillId="0" borderId="26" xfId="1" applyNumberFormat="1" applyFont="1" applyFill="1" applyBorder="1" applyAlignment="1">
      <alignment horizontal="center"/>
    </xf>
    <xf numFmtId="0" fontId="0" fillId="4" borderId="57" xfId="0" applyFill="1" applyBorder="1" applyAlignment="1">
      <alignment horizontal="center" vertical="center"/>
    </xf>
    <xf numFmtId="169" fontId="4" fillId="5" borderId="54" xfId="1" applyNumberFormat="1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2" fillId="11" borderId="50" xfId="0" applyFont="1" applyFill="1" applyBorder="1" applyAlignment="1">
      <alignment vertical="center"/>
    </xf>
    <xf numFmtId="0" fontId="12" fillId="11" borderId="57" xfId="0" applyFont="1" applyFill="1" applyBorder="1" applyAlignment="1">
      <alignment horizontal="center" vertical="center"/>
    </xf>
    <xf numFmtId="0" fontId="8" fillId="2" borderId="58" xfId="0" applyFont="1" applyFill="1" applyBorder="1"/>
    <xf numFmtId="165" fontId="1" fillId="3" borderId="51" xfId="1" applyNumberFormat="1" applyFont="1" applyFill="1" applyBorder="1" applyAlignment="1">
      <alignment horizontal="center" vertical="center"/>
    </xf>
    <xf numFmtId="0" fontId="12" fillId="11" borderId="53" xfId="0" applyFont="1" applyFill="1" applyBorder="1" applyAlignment="1">
      <alignment vertical="center"/>
    </xf>
    <xf numFmtId="0" fontId="12" fillId="11" borderId="49" xfId="0" applyFont="1" applyFill="1" applyBorder="1" applyAlignment="1">
      <alignment horizontal="center" vertical="center"/>
    </xf>
    <xf numFmtId="0" fontId="8" fillId="2" borderId="59" xfId="0" applyFont="1" applyFill="1" applyBorder="1"/>
    <xf numFmtId="165" fontId="1" fillId="3" borderId="54" xfId="1" applyNumberFormat="1" applyFont="1" applyFill="1" applyBorder="1" applyAlignment="1">
      <alignment horizontal="center" vertical="center"/>
    </xf>
    <xf numFmtId="0" fontId="12" fillId="9" borderId="56" xfId="0" applyFont="1" applyFill="1" applyBorder="1" applyAlignment="1">
      <alignment horizontal="center"/>
    </xf>
    <xf numFmtId="0" fontId="36" fillId="2" borderId="27" xfId="0" applyFont="1" applyFill="1" applyBorder="1" applyAlignment="1">
      <alignment horizontal="center" vertical="center"/>
    </xf>
    <xf numFmtId="166" fontId="0" fillId="2" borderId="51" xfId="1" applyNumberFormat="1" applyFont="1" applyFill="1" applyBorder="1" applyAlignment="1" applyProtection="1">
      <alignment horizontal="center" vertical="center"/>
      <protection locked="0"/>
    </xf>
    <xf numFmtId="0" fontId="12" fillId="9" borderId="24" xfId="0" applyFont="1" applyFill="1" applyBorder="1" applyAlignment="1">
      <alignment horizontal="center"/>
    </xf>
    <xf numFmtId="166" fontId="0" fillId="2" borderId="42" xfId="1" applyNumberFormat="1" applyFont="1" applyFill="1" applyBorder="1" applyAlignment="1" applyProtection="1">
      <alignment horizontal="center" vertical="center"/>
      <protection locked="0"/>
    </xf>
    <xf numFmtId="0" fontId="32" fillId="12" borderId="47" xfId="0" applyFont="1" applyFill="1" applyBorder="1" applyAlignment="1">
      <alignment vertical="center"/>
    </xf>
    <xf numFmtId="0" fontId="32" fillId="12" borderId="60" xfId="0" applyFont="1" applyFill="1" applyBorder="1" applyAlignment="1">
      <alignment horizontal="center" vertical="center"/>
    </xf>
    <xf numFmtId="165" fontId="1" fillId="0" borderId="42" xfId="1" applyNumberFormat="1" applyFont="1" applyFill="1" applyBorder="1" applyAlignment="1" applyProtection="1">
      <alignment horizontal="center" vertical="center"/>
      <protection locked="0"/>
    </xf>
    <xf numFmtId="165" fontId="1" fillId="3" borderId="10" xfId="1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11" xfId="0" applyFill="1" applyBorder="1"/>
    <xf numFmtId="0" fontId="8" fillId="2" borderId="61" xfId="0" applyFont="1" applyFill="1" applyBorder="1"/>
    <xf numFmtId="0" fontId="8" fillId="2" borderId="48" xfId="0" applyFont="1" applyFill="1" applyBorder="1"/>
    <xf numFmtId="0" fontId="8" fillId="2" borderId="44" xfId="0" applyFont="1" applyFill="1" applyBorder="1"/>
    <xf numFmtId="1" fontId="6" fillId="7" borderId="15" xfId="0" applyNumberFormat="1" applyFont="1" applyFill="1" applyBorder="1" applyAlignment="1" applyProtection="1">
      <alignment horizontal="center" vertical="center"/>
      <protection locked="0"/>
    </xf>
    <xf numFmtId="170" fontId="6" fillId="7" borderId="15" xfId="0" applyNumberFormat="1" applyFont="1" applyFill="1" applyBorder="1" applyAlignment="1" applyProtection="1">
      <alignment horizontal="center" vertical="center"/>
      <protection locked="0"/>
    </xf>
    <xf numFmtId="165" fontId="8" fillId="2" borderId="16" xfId="1" applyNumberFormat="1" applyFont="1" applyFill="1" applyBorder="1"/>
    <xf numFmtId="165" fontId="4" fillId="5" borderId="54" xfId="1" applyNumberFormat="1" applyFont="1" applyFill="1" applyBorder="1" applyAlignment="1">
      <alignment horizontal="center" vertical="center"/>
    </xf>
    <xf numFmtId="165" fontId="4" fillId="13" borderId="17" xfId="1" applyNumberFormat="1" applyFont="1" applyFill="1" applyBorder="1" applyAlignment="1">
      <alignment horizontal="center" vertical="center" wrapText="1"/>
    </xf>
    <xf numFmtId="0" fontId="4" fillId="13" borderId="17" xfId="0" applyFont="1" applyFill="1" applyBorder="1" applyAlignment="1">
      <alignment horizontal="center" vertical="center" wrapText="1"/>
    </xf>
    <xf numFmtId="0" fontId="0" fillId="0" borderId="16" xfId="0" applyBorder="1"/>
    <xf numFmtId="165" fontId="0" fillId="0" borderId="16" xfId="1" applyNumberFormat="1" applyFont="1" applyBorder="1"/>
    <xf numFmtId="165" fontId="0" fillId="0" borderId="16" xfId="0" applyNumberFormat="1" applyBorder="1"/>
    <xf numFmtId="165" fontId="4" fillId="0" borderId="16" xfId="0" applyNumberFormat="1" applyFont="1" applyBorder="1"/>
    <xf numFmtId="165" fontId="38" fillId="14" borderId="17" xfId="1" applyNumberFormat="1" applyFont="1" applyFill="1" applyBorder="1" applyAlignment="1">
      <alignment horizontal="center" vertical="center" wrapText="1"/>
    </xf>
    <xf numFmtId="165" fontId="37" fillId="0" borderId="16" xfId="0" applyNumberFormat="1" applyFont="1" applyBorder="1"/>
    <xf numFmtId="0" fontId="12" fillId="15" borderId="0" xfId="0" applyFont="1" applyFill="1"/>
    <xf numFmtId="166" fontId="12" fillId="15" borderId="0" xfId="0" applyNumberFormat="1" applyFont="1" applyFill="1"/>
    <xf numFmtId="171" fontId="0" fillId="0" borderId="16" xfId="0" applyNumberFormat="1" applyBorder="1"/>
    <xf numFmtId="165" fontId="12" fillId="15" borderId="0" xfId="1" applyNumberFormat="1" applyFont="1" applyFill="1"/>
    <xf numFmtId="165" fontId="8" fillId="2" borderId="0" xfId="1" applyNumberFormat="1" applyFont="1" applyFill="1"/>
    <xf numFmtId="0" fontId="0" fillId="0" borderId="16" xfId="0" applyFill="1" applyBorder="1"/>
    <xf numFmtId="0" fontId="8" fillId="0" borderId="0" xfId="0" applyFont="1" applyFill="1"/>
    <xf numFmtId="171" fontId="0" fillId="0" borderId="16" xfId="0" applyNumberFormat="1" applyFill="1" applyBorder="1"/>
    <xf numFmtId="0" fontId="0" fillId="0" borderId="0" xfId="0" applyFill="1"/>
    <xf numFmtId="0" fontId="12" fillId="0" borderId="8" xfId="0" applyFont="1" applyFill="1" applyBorder="1"/>
    <xf numFmtId="0" fontId="8" fillId="0" borderId="8" xfId="0" applyFont="1" applyFill="1" applyBorder="1"/>
    <xf numFmtId="0" fontId="12" fillId="0" borderId="0" xfId="0" applyFont="1" applyFill="1" applyBorder="1"/>
    <xf numFmtId="0" fontId="8" fillId="0" borderId="0" xfId="0" applyFont="1" applyFill="1" applyBorder="1"/>
    <xf numFmtId="0" fontId="8" fillId="2" borderId="0" xfId="0" applyFont="1" applyFill="1" applyBorder="1"/>
    <xf numFmtId="0" fontId="12" fillId="2" borderId="0" xfId="0" applyFont="1" applyFill="1" applyBorder="1"/>
    <xf numFmtId="0" fontId="8" fillId="0" borderId="8" xfId="0" applyFont="1" applyFill="1" applyBorder="1" applyAlignment="1">
      <alignment vertical="center"/>
    </xf>
    <xf numFmtId="166" fontId="8" fillId="2" borderId="0" xfId="0" applyNumberFormat="1" applyFont="1" applyFill="1" applyBorder="1"/>
    <xf numFmtId="0" fontId="0" fillId="2" borderId="0" xfId="0" applyFill="1" applyBorder="1"/>
    <xf numFmtId="0" fontId="3" fillId="2" borderId="0" xfId="0" applyFont="1" applyFill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37" fillId="14" borderId="16" xfId="0" applyFont="1" applyFill="1" applyBorder="1" applyAlignment="1">
      <alignment horizontal="center" vertical="center" wrapText="1"/>
    </xf>
    <xf numFmtId="0" fontId="0" fillId="13" borderId="16" xfId="0" applyFill="1" applyBorder="1" applyAlignment="1">
      <alignment horizontal="center" vertical="center"/>
    </xf>
    <xf numFmtId="0" fontId="4" fillId="0" borderId="0" xfId="0" applyFont="1"/>
  </cellXfs>
  <cellStyles count="4">
    <cellStyle name="Migliaia" xfId="1" builtinId="3"/>
    <cellStyle name="Normale" xfId="0" builtinId="0"/>
    <cellStyle name="Percentuale" xfId="2" builtinId="5"/>
    <cellStyle name="Tito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130175</xdr:rowOff>
    </xdr:from>
    <xdr:to>
      <xdr:col>1</xdr:col>
      <xdr:colOff>263525</xdr:colOff>
      <xdr:row>1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12D094EC-6454-43C2-B0EA-2035C26F2D81}"/>
            </a:ext>
          </a:extLst>
        </xdr:cNvPr>
        <xdr:cNvSpPr/>
      </xdr:nvSpPr>
      <xdr:spPr>
        <a:xfrm>
          <a:off x="302895" y="29781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142875</xdr:colOff>
      <xdr:row>1</xdr:row>
      <xdr:rowOff>130175</xdr:rowOff>
    </xdr:from>
    <xdr:to>
      <xdr:col>1</xdr:col>
      <xdr:colOff>263525</xdr:colOff>
      <xdr:row>1</xdr:row>
      <xdr:rowOff>257175</xdr:rowOff>
    </xdr:to>
    <xdr:sp macro="" textlink="">
      <xdr:nvSpPr>
        <xdr:cNvPr id="3" name="Connettore 2">
          <a:extLst>
            <a:ext uri="{FF2B5EF4-FFF2-40B4-BE49-F238E27FC236}">
              <a16:creationId xmlns:a16="http://schemas.microsoft.com/office/drawing/2014/main" id="{785CC131-4C3C-4137-90C8-D44AE55EB13D}"/>
            </a:ext>
          </a:extLst>
        </xdr:cNvPr>
        <xdr:cNvSpPr/>
      </xdr:nvSpPr>
      <xdr:spPr>
        <a:xfrm>
          <a:off x="302895" y="29781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96"/>
  <sheetViews>
    <sheetView tabSelected="1" zoomScale="63" zoomScaleNormal="63" workbookViewId="0">
      <selection activeCell="F14" sqref="F14"/>
    </sheetView>
  </sheetViews>
  <sheetFormatPr defaultColWidth="9.6640625" defaultRowHeight="15.6" x14ac:dyDescent="0.3"/>
  <cols>
    <col min="1" max="1" width="2.33203125" style="7" customWidth="1"/>
    <col min="2" max="2" width="108.109375" style="14" customWidth="1"/>
    <col min="3" max="3" width="18.33203125" style="14" customWidth="1"/>
    <col min="4" max="4" width="5.5546875" style="14" customWidth="1"/>
    <col min="5" max="5" width="16.33203125" style="14" customWidth="1"/>
    <col min="6" max="6" width="14.33203125" style="14" customWidth="1"/>
    <col min="7" max="7" width="22.33203125" style="14" customWidth="1"/>
    <col min="8" max="8" width="10.44140625" style="10" customWidth="1"/>
    <col min="9" max="10" width="8" style="7" customWidth="1"/>
    <col min="11" max="12" width="2.5546875" style="7" customWidth="1"/>
    <col min="13" max="13" width="2.6640625" style="7" customWidth="1"/>
    <col min="14" max="14" width="38.88671875" style="7" customWidth="1"/>
    <col min="15" max="15" width="22.5546875" style="7" customWidth="1"/>
    <col min="16" max="16" width="107.33203125" style="7" customWidth="1"/>
    <col min="17" max="17" width="29.33203125" style="7" customWidth="1"/>
    <col min="18" max="19" width="24.6640625" style="7" customWidth="1"/>
    <col min="20" max="20" width="86.33203125" style="7" customWidth="1"/>
    <col min="21" max="22" width="39.88671875" style="7" customWidth="1"/>
    <col min="23" max="23" width="28.6640625" style="7" customWidth="1"/>
    <col min="24" max="67" width="9.6640625" style="7"/>
    <col min="68" max="16384" width="9.6640625" style="14"/>
  </cols>
  <sheetData>
    <row r="1" spans="2:27" s="1" customFormat="1" ht="13.5" customHeight="1" x14ac:dyDescent="0.4">
      <c r="B1" s="2"/>
      <c r="C1" s="231" t="s">
        <v>0</v>
      </c>
      <c r="D1" s="231"/>
      <c r="E1" s="231"/>
      <c r="F1" s="231"/>
      <c r="G1" s="231"/>
      <c r="H1" s="3"/>
    </row>
    <row r="2" spans="2:27" s="4" customFormat="1" ht="33" customHeight="1" thickBot="1" x14ac:dyDescent="0.45">
      <c r="B2" s="5" t="s">
        <v>1</v>
      </c>
      <c r="C2" s="232" t="s">
        <v>2</v>
      </c>
      <c r="D2" s="232"/>
      <c r="E2" s="232"/>
      <c r="F2" s="232"/>
      <c r="G2" s="232"/>
      <c r="H2" s="6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6.8" thickTop="1" thickBot="1" x14ac:dyDescent="0.35">
      <c r="B3" s="7"/>
      <c r="C3" s="8"/>
      <c r="D3" s="8"/>
      <c r="E3" s="9"/>
      <c r="F3" s="9"/>
      <c r="G3" s="9"/>
      <c r="P3" s="11"/>
      <c r="Q3" s="12"/>
      <c r="R3" s="12"/>
      <c r="S3" s="12"/>
      <c r="T3" s="12"/>
      <c r="U3" s="12"/>
      <c r="V3" s="12"/>
      <c r="W3" s="12"/>
      <c r="X3" s="12"/>
      <c r="Y3" s="12"/>
      <c r="Z3" s="12"/>
      <c r="AA3" s="13"/>
    </row>
    <row r="4" spans="2:27" ht="31.8" thickBot="1" x14ac:dyDescent="0.35">
      <c r="B4" s="15"/>
      <c r="C4" s="16" t="s">
        <v>3</v>
      </c>
      <c r="D4" s="17"/>
      <c r="E4" s="233" t="s">
        <v>116</v>
      </c>
      <c r="F4" s="234"/>
      <c r="G4" s="235"/>
      <c r="H4" s="18"/>
      <c r="I4" s="19"/>
      <c r="P4" s="20"/>
      <c r="Q4" s="226"/>
      <c r="R4" s="226"/>
      <c r="S4" s="226"/>
      <c r="T4" s="226"/>
      <c r="U4" s="236" t="s">
        <v>4</v>
      </c>
      <c r="V4" s="237"/>
      <c r="W4" s="226"/>
      <c r="X4" s="226"/>
      <c r="Y4" s="226"/>
      <c r="Z4" s="226"/>
      <c r="AA4" s="21"/>
    </row>
    <row r="5" spans="2:27" ht="51" x14ac:dyDescent="0.3">
      <c r="B5" s="22"/>
      <c r="C5" s="23" t="s">
        <v>5</v>
      </c>
      <c r="D5" s="24"/>
      <c r="E5" s="25" t="s">
        <v>6</v>
      </c>
      <c r="F5" s="26" t="s">
        <v>7</v>
      </c>
      <c r="G5" s="26" t="s">
        <v>8</v>
      </c>
      <c r="H5" s="27"/>
      <c r="I5" s="28"/>
      <c r="N5" s="29" t="s">
        <v>9</v>
      </c>
      <c r="P5" s="20"/>
      <c r="Q5" s="226"/>
      <c r="R5" s="226"/>
      <c r="S5" s="226"/>
      <c r="T5" s="226"/>
      <c r="U5" s="25" t="s">
        <v>10</v>
      </c>
      <c r="V5" s="25" t="s">
        <v>11</v>
      </c>
      <c r="W5" s="25" t="s">
        <v>12</v>
      </c>
      <c r="X5" s="226"/>
      <c r="Y5" s="226"/>
      <c r="Z5" s="226"/>
      <c r="AA5" s="21"/>
    </row>
    <row r="6" spans="2:27" x14ac:dyDescent="0.3">
      <c r="B6" s="30" t="s">
        <v>13</v>
      </c>
      <c r="C6" s="31" t="s">
        <v>14</v>
      </c>
      <c r="D6" s="32"/>
      <c r="E6" s="33">
        <v>62653.058056044109</v>
      </c>
      <c r="F6" s="33">
        <v>1503.4698399385968</v>
      </c>
      <c r="G6" s="34">
        <f>E6+F6</f>
        <v>64156.527895982705</v>
      </c>
      <c r="N6" s="35" t="s">
        <v>15</v>
      </c>
      <c r="P6" s="20"/>
      <c r="Q6" s="226"/>
      <c r="R6" s="226"/>
      <c r="S6" s="226"/>
      <c r="T6" s="30" t="s">
        <v>13</v>
      </c>
      <c r="U6" s="36"/>
      <c r="V6" s="36"/>
      <c r="W6" s="37">
        <f>+G6-U6-V6</f>
        <v>64156.527895982705</v>
      </c>
      <c r="X6" s="226"/>
      <c r="Y6" s="226"/>
      <c r="Z6" s="226"/>
      <c r="AA6" s="21"/>
    </row>
    <row r="7" spans="2:27" x14ac:dyDescent="0.3">
      <c r="B7" s="30" t="s">
        <v>16</v>
      </c>
      <c r="C7" s="31" t="s">
        <v>14</v>
      </c>
      <c r="D7" s="32"/>
      <c r="E7" s="33">
        <v>0</v>
      </c>
      <c r="F7" s="33">
        <v>56765.662702534544</v>
      </c>
      <c r="G7" s="34">
        <f t="shared" ref="G7:G17" si="0">E7+F7</f>
        <v>56765.662702534544</v>
      </c>
      <c r="N7" s="38" t="s">
        <v>17</v>
      </c>
      <c r="P7" s="20"/>
      <c r="Q7" s="226"/>
      <c r="R7" s="226"/>
      <c r="S7" s="226"/>
      <c r="T7" s="30" t="s">
        <v>16</v>
      </c>
      <c r="U7" s="203"/>
      <c r="V7" s="203">
        <v>14457.476228776388</v>
      </c>
      <c r="W7" s="37">
        <f t="shared" ref="W7:W21" si="1">+G7-U7-V7</f>
        <v>42308.186473758156</v>
      </c>
      <c r="X7" s="226"/>
      <c r="Y7" s="226"/>
      <c r="Z7" s="226"/>
      <c r="AA7" s="21"/>
    </row>
    <row r="8" spans="2:27" x14ac:dyDescent="0.3">
      <c r="B8" s="30" t="s">
        <v>18</v>
      </c>
      <c r="C8" s="31" t="s">
        <v>14</v>
      </c>
      <c r="D8" s="32"/>
      <c r="E8" s="33">
        <v>12595.975237082306</v>
      </c>
      <c r="F8" s="33">
        <v>38302.340619329996</v>
      </c>
      <c r="G8" s="34">
        <f t="shared" si="0"/>
        <v>50898.3158564123</v>
      </c>
      <c r="N8" s="39" t="s">
        <v>19</v>
      </c>
      <c r="P8" s="20"/>
      <c r="Q8" s="226"/>
      <c r="R8" s="226"/>
      <c r="S8" s="226"/>
      <c r="T8" s="30" t="s">
        <v>18</v>
      </c>
      <c r="U8" s="203"/>
      <c r="V8" s="203"/>
      <c r="W8" s="37">
        <f t="shared" si="1"/>
        <v>50898.3158564123</v>
      </c>
      <c r="X8" s="226"/>
      <c r="Y8" s="226"/>
      <c r="Z8" s="226"/>
      <c r="AA8" s="21"/>
    </row>
    <row r="9" spans="2:27" x14ac:dyDescent="0.3">
      <c r="B9" s="30" t="s">
        <v>20</v>
      </c>
      <c r="C9" s="31" t="s">
        <v>14</v>
      </c>
      <c r="D9" s="32"/>
      <c r="E9" s="33">
        <v>196199.22401168052</v>
      </c>
      <c r="F9" s="33">
        <v>10361.9136884614</v>
      </c>
      <c r="G9" s="34">
        <f t="shared" si="0"/>
        <v>206561.13770014193</v>
      </c>
      <c r="N9" s="40" t="s">
        <v>21</v>
      </c>
      <c r="P9" s="20"/>
      <c r="Q9" s="226"/>
      <c r="R9" s="226"/>
      <c r="S9" s="226"/>
      <c r="T9" s="30" t="s">
        <v>20</v>
      </c>
      <c r="U9" s="203">
        <v>21457.901101954514</v>
      </c>
      <c r="V9" s="203"/>
      <c r="W9" s="37">
        <f t="shared" si="1"/>
        <v>185103.23659818742</v>
      </c>
      <c r="X9" s="226"/>
      <c r="Y9" s="226"/>
      <c r="Z9" s="226"/>
      <c r="AA9" s="21"/>
    </row>
    <row r="10" spans="2:27" ht="18" x14ac:dyDescent="0.3">
      <c r="B10" s="41" t="s">
        <v>22</v>
      </c>
      <c r="C10" s="31" t="s">
        <v>14</v>
      </c>
      <c r="D10" s="32"/>
      <c r="E10" s="33">
        <v>0</v>
      </c>
      <c r="F10" s="33">
        <v>0</v>
      </c>
      <c r="G10" s="34">
        <f t="shared" si="0"/>
        <v>0</v>
      </c>
      <c r="P10" s="20"/>
      <c r="Q10" s="226"/>
      <c r="R10" s="226"/>
      <c r="S10" s="226"/>
      <c r="T10" s="41" t="s">
        <v>22</v>
      </c>
      <c r="U10" s="42"/>
      <c r="V10" s="42"/>
      <c r="W10" s="37">
        <f t="shared" si="1"/>
        <v>0</v>
      </c>
      <c r="X10" s="226"/>
      <c r="Y10" s="226"/>
      <c r="Z10" s="226"/>
      <c r="AA10" s="21"/>
    </row>
    <row r="11" spans="2:27" x14ac:dyDescent="0.3">
      <c r="B11" s="43" t="s">
        <v>23</v>
      </c>
      <c r="C11" s="31" t="s">
        <v>14</v>
      </c>
      <c r="D11" s="32"/>
      <c r="E11" s="33">
        <v>62598.200983834286</v>
      </c>
      <c r="F11" s="33">
        <v>0</v>
      </c>
      <c r="G11" s="34">
        <f t="shared" si="0"/>
        <v>62598.200983834286</v>
      </c>
      <c r="P11" s="20"/>
      <c r="Q11" s="226"/>
      <c r="R11" s="226"/>
      <c r="S11" s="226"/>
      <c r="T11" s="43" t="s">
        <v>23</v>
      </c>
      <c r="U11" s="44"/>
      <c r="V11" s="45"/>
      <c r="W11" s="37">
        <f>G11</f>
        <v>62598.200983834286</v>
      </c>
      <c r="X11" s="226"/>
      <c r="Y11" s="226"/>
      <c r="Z11" s="226"/>
      <c r="AA11" s="21"/>
    </row>
    <row r="12" spans="2:27" x14ac:dyDescent="0.3">
      <c r="B12" s="46" t="s">
        <v>24</v>
      </c>
      <c r="C12" s="47" t="s">
        <v>25</v>
      </c>
      <c r="D12" s="48"/>
      <c r="E12" s="49">
        <v>0.6</v>
      </c>
      <c r="F12" s="49"/>
      <c r="G12" s="50"/>
      <c r="H12" s="7"/>
      <c r="P12" s="20"/>
      <c r="Q12" s="226"/>
      <c r="R12" s="226"/>
      <c r="S12" s="226"/>
      <c r="T12" s="46" t="s">
        <v>24</v>
      </c>
      <c r="U12" s="51"/>
      <c r="V12" s="52"/>
      <c r="W12" s="37">
        <f t="shared" ref="W12:W20" si="2">G12</f>
        <v>0</v>
      </c>
      <c r="X12" s="226"/>
      <c r="Y12" s="226"/>
      <c r="Z12" s="226"/>
      <c r="AA12" s="21"/>
    </row>
    <row r="13" spans="2:27" x14ac:dyDescent="0.3">
      <c r="B13" s="30" t="s">
        <v>26</v>
      </c>
      <c r="C13" s="31" t="s">
        <v>25</v>
      </c>
      <c r="D13" s="32"/>
      <c r="E13" s="33">
        <f>+E12*E11</f>
        <v>37558.920590300571</v>
      </c>
      <c r="F13" s="33">
        <f>+F12*F11</f>
        <v>0</v>
      </c>
      <c r="G13" s="34">
        <f t="shared" si="0"/>
        <v>37558.920590300571</v>
      </c>
      <c r="H13" s="7"/>
      <c r="P13" s="20"/>
      <c r="Q13" s="226"/>
      <c r="R13" s="226"/>
      <c r="S13" s="226"/>
      <c r="T13" s="30" t="s">
        <v>26</v>
      </c>
      <c r="U13" s="51"/>
      <c r="V13" s="52"/>
      <c r="W13" s="37">
        <f t="shared" si="2"/>
        <v>37558.920590300571</v>
      </c>
      <c r="X13" s="226"/>
      <c r="Y13" s="226"/>
      <c r="Z13" s="226"/>
      <c r="AA13" s="21"/>
    </row>
    <row r="14" spans="2:27" ht="18" x14ac:dyDescent="0.3">
      <c r="B14" s="30" t="s">
        <v>27</v>
      </c>
      <c r="C14" s="31" t="s">
        <v>14</v>
      </c>
      <c r="D14" s="32"/>
      <c r="E14" s="33">
        <v>47901.059316695231</v>
      </c>
      <c r="F14" s="33">
        <v>0</v>
      </c>
      <c r="G14" s="34">
        <f t="shared" si="0"/>
        <v>47901.059316695231</v>
      </c>
      <c r="H14" s="7"/>
      <c r="P14" s="20"/>
      <c r="Q14" s="226"/>
      <c r="R14" s="226"/>
      <c r="S14" s="226"/>
      <c r="T14" s="30" t="s">
        <v>27</v>
      </c>
      <c r="U14" s="51"/>
      <c r="V14" s="52"/>
      <c r="W14" s="37">
        <f>G14</f>
        <v>47901.059316695231</v>
      </c>
      <c r="X14" s="226"/>
      <c r="Y14" s="226"/>
      <c r="Z14" s="226"/>
      <c r="AA14" s="21"/>
    </row>
    <row r="15" spans="2:27" x14ac:dyDescent="0.3">
      <c r="B15" s="46" t="s">
        <v>28</v>
      </c>
      <c r="C15" s="47" t="s">
        <v>25</v>
      </c>
      <c r="D15" s="48"/>
      <c r="E15" s="49">
        <v>0.84</v>
      </c>
      <c r="F15" s="49"/>
      <c r="G15" s="50"/>
      <c r="H15" s="7"/>
      <c r="P15" s="20"/>
      <c r="Q15" s="226"/>
      <c r="R15" s="226"/>
      <c r="S15" s="226"/>
      <c r="T15" s="46" t="s">
        <v>28</v>
      </c>
      <c r="U15" s="51"/>
      <c r="V15" s="52"/>
      <c r="W15" s="37">
        <f t="shared" si="2"/>
        <v>0</v>
      </c>
      <c r="X15" s="226"/>
      <c r="Y15" s="226"/>
      <c r="Z15" s="226"/>
      <c r="AA15" s="21"/>
    </row>
    <row r="16" spans="2:27" ht="18" x14ac:dyDescent="0.3">
      <c r="B16" s="30" t="s">
        <v>29</v>
      </c>
      <c r="C16" s="31" t="s">
        <v>25</v>
      </c>
      <c r="D16" s="32"/>
      <c r="E16" s="33">
        <f>+E15*E14</f>
        <v>40236.889826023995</v>
      </c>
      <c r="F16" s="33">
        <f>+F15*F14</f>
        <v>0</v>
      </c>
      <c r="G16" s="34">
        <f t="shared" si="0"/>
        <v>40236.889826023995</v>
      </c>
      <c r="H16" s="7"/>
      <c r="P16" s="20"/>
      <c r="Q16" s="226"/>
      <c r="R16" s="226"/>
      <c r="S16" s="226"/>
      <c r="T16" s="30" t="s">
        <v>29</v>
      </c>
      <c r="U16" s="51"/>
      <c r="V16" s="52"/>
      <c r="W16" s="37">
        <f t="shared" si="2"/>
        <v>40236.889826023995</v>
      </c>
      <c r="X16" s="226"/>
      <c r="Y16" s="226"/>
      <c r="Z16" s="226"/>
      <c r="AA16" s="21"/>
    </row>
    <row r="17" spans="2:27" ht="18" x14ac:dyDescent="0.3">
      <c r="B17" s="30" t="s">
        <v>30</v>
      </c>
      <c r="C17" s="31" t="s">
        <v>14</v>
      </c>
      <c r="D17" s="32"/>
      <c r="E17" s="33">
        <v>-8758.0274763082271</v>
      </c>
      <c r="F17" s="33">
        <v>0</v>
      </c>
      <c r="G17" s="34">
        <f t="shared" si="0"/>
        <v>-8758.0274763082271</v>
      </c>
      <c r="H17" s="7"/>
      <c r="P17" s="20"/>
      <c r="Q17" s="226"/>
      <c r="R17" s="226"/>
      <c r="S17" s="226"/>
      <c r="T17" s="30" t="s">
        <v>30</v>
      </c>
      <c r="U17" s="51"/>
      <c r="V17" s="52"/>
      <c r="W17" s="37">
        <f t="shared" si="2"/>
        <v>-8758.0274763082271</v>
      </c>
      <c r="X17" s="226"/>
      <c r="Y17" s="226"/>
      <c r="Z17" s="226"/>
      <c r="AA17" s="21"/>
    </row>
    <row r="18" spans="2:27" x14ac:dyDescent="0.3">
      <c r="B18" s="46" t="s">
        <v>31</v>
      </c>
      <c r="C18" s="47" t="s">
        <v>25</v>
      </c>
      <c r="D18" s="53"/>
      <c r="E18" s="49">
        <f>+E74</f>
        <v>0.5</v>
      </c>
      <c r="F18" s="49"/>
      <c r="G18" s="50"/>
      <c r="H18" s="7"/>
      <c r="I18" s="54"/>
      <c r="P18" s="20"/>
      <c r="Q18" s="226"/>
      <c r="R18" s="226"/>
      <c r="S18" s="226"/>
      <c r="T18" s="46" t="s">
        <v>31</v>
      </c>
      <c r="U18" s="51"/>
      <c r="V18" s="52"/>
      <c r="W18" s="37">
        <f t="shared" si="2"/>
        <v>0</v>
      </c>
      <c r="X18" s="226"/>
      <c r="Y18" s="226"/>
      <c r="Z18" s="226"/>
      <c r="AA18" s="21"/>
    </row>
    <row r="19" spans="2:27" x14ac:dyDescent="0.3">
      <c r="B19" s="46" t="s">
        <v>32</v>
      </c>
      <c r="C19" s="47" t="s">
        <v>25</v>
      </c>
      <c r="D19" s="48"/>
      <c r="E19" s="49">
        <v>1</v>
      </c>
      <c r="F19" s="49">
        <v>1</v>
      </c>
      <c r="G19" s="50"/>
      <c r="H19" s="7"/>
      <c r="P19" s="20"/>
      <c r="Q19" s="226"/>
      <c r="R19" s="226"/>
      <c r="S19" s="226"/>
      <c r="T19" s="46" t="s">
        <v>32</v>
      </c>
      <c r="U19" s="51"/>
      <c r="V19" s="52"/>
      <c r="W19" s="37">
        <f t="shared" si="2"/>
        <v>0</v>
      </c>
      <c r="X19" s="226"/>
      <c r="Y19" s="226"/>
      <c r="Z19" s="226"/>
      <c r="AA19" s="21"/>
    </row>
    <row r="20" spans="2:27" ht="18" x14ac:dyDescent="0.3">
      <c r="B20" s="55" t="s">
        <v>33</v>
      </c>
      <c r="C20" s="31" t="s">
        <v>25</v>
      </c>
      <c r="D20" s="32"/>
      <c r="E20" s="33">
        <f>+E17*E18/E19</f>
        <v>-4379.0137381541135</v>
      </c>
      <c r="F20" s="33">
        <f>+F17*F18/F19</f>
        <v>0</v>
      </c>
      <c r="G20" s="34">
        <f>E20+F20</f>
        <v>-4379.0137381541135</v>
      </c>
      <c r="H20" s="7"/>
      <c r="P20" s="20"/>
      <c r="Q20" s="226"/>
      <c r="R20" s="226"/>
      <c r="S20" s="226"/>
      <c r="T20" s="55" t="s">
        <v>33</v>
      </c>
      <c r="U20" s="56"/>
      <c r="V20" s="57"/>
      <c r="W20" s="37">
        <f t="shared" si="2"/>
        <v>-4379.0137381541135</v>
      </c>
      <c r="X20" s="226"/>
      <c r="Y20" s="226"/>
      <c r="Z20" s="226"/>
      <c r="AA20" s="21"/>
    </row>
    <row r="21" spans="2:27" x14ac:dyDescent="0.3">
      <c r="B21" s="30" t="s">
        <v>34</v>
      </c>
      <c r="C21" s="31" t="s">
        <v>14</v>
      </c>
      <c r="D21" s="32"/>
      <c r="E21" s="33">
        <v>0</v>
      </c>
      <c r="F21" s="33">
        <v>29620.682000059292</v>
      </c>
      <c r="G21" s="34">
        <f t="shared" ref="G21" si="3">E21+F21</f>
        <v>29620.682000059292</v>
      </c>
      <c r="H21" s="7"/>
      <c r="P21" s="20"/>
      <c r="Q21" s="226"/>
      <c r="R21" s="226"/>
      <c r="S21" s="226"/>
      <c r="T21" s="30" t="s">
        <v>34</v>
      </c>
      <c r="U21" s="58"/>
      <c r="V21" s="58"/>
      <c r="W21" s="37">
        <f t="shared" si="1"/>
        <v>29620.682000059292</v>
      </c>
      <c r="X21" s="226"/>
      <c r="Y21" s="226"/>
      <c r="Z21" s="226"/>
      <c r="AA21" s="21"/>
    </row>
    <row r="22" spans="2:27" ht="18.600000000000001" thickBot="1" x14ac:dyDescent="0.35">
      <c r="B22" s="59" t="s">
        <v>35</v>
      </c>
      <c r="C22" s="60" t="s">
        <v>36</v>
      </c>
      <c r="D22" s="32"/>
      <c r="E22" s="61">
        <f>E6+E7+E8+E9+E10-E13-E16+E20+E21</f>
        <v>189273.43315032826</v>
      </c>
      <c r="F22" s="61">
        <f>F6+F7+F8+F9+F10-F13-F16+F20+F21</f>
        <v>136554.06885032382</v>
      </c>
      <c r="G22" s="61">
        <f>E22+F22</f>
        <v>325827.50200065208</v>
      </c>
      <c r="H22" s="7"/>
      <c r="P22" s="20"/>
      <c r="Q22" s="226"/>
      <c r="R22" s="226"/>
      <c r="S22" s="226"/>
      <c r="T22" s="59" t="s">
        <v>35</v>
      </c>
      <c r="U22" s="62"/>
      <c r="V22" s="63"/>
      <c r="W22" s="61">
        <f>W6+W7+W8+W9+W10-W13-W16+W20+W21</f>
        <v>289912.12466992118</v>
      </c>
      <c r="X22" s="226"/>
      <c r="Y22" s="226"/>
      <c r="Z22" s="226"/>
      <c r="AA22" s="21"/>
    </row>
    <row r="23" spans="2:27" ht="16.2" thickBot="1" x14ac:dyDescent="0.35">
      <c r="B23" s="64"/>
      <c r="C23" s="65"/>
      <c r="D23" s="66"/>
      <c r="E23" s="67"/>
      <c r="F23" s="67"/>
      <c r="G23" s="68"/>
      <c r="H23" s="7"/>
      <c r="P23" s="20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1"/>
    </row>
    <row r="24" spans="2:27" x14ac:dyDescent="0.3">
      <c r="B24" s="69" t="s">
        <v>37</v>
      </c>
      <c r="C24" s="70" t="s">
        <v>14</v>
      </c>
      <c r="D24" s="32"/>
      <c r="E24" s="71">
        <v>30599.24689745111</v>
      </c>
      <c r="F24" s="71">
        <v>7840.1034773699985</v>
      </c>
      <c r="G24" s="72">
        <f t="shared" ref="G24:G40" si="4">E24+F24</f>
        <v>38439.350374821108</v>
      </c>
      <c r="P24" s="20"/>
      <c r="Q24" s="226"/>
      <c r="R24" s="226"/>
      <c r="S24" s="226"/>
      <c r="T24" s="69" t="s">
        <v>37</v>
      </c>
      <c r="U24" s="36"/>
      <c r="V24" s="36"/>
      <c r="W24" s="37">
        <f>+G24-U24-V24</f>
        <v>38439.350374821108</v>
      </c>
      <c r="X24" s="226"/>
      <c r="Y24" s="226"/>
      <c r="Z24" s="226"/>
      <c r="AA24" s="21"/>
    </row>
    <row r="25" spans="2:27" x14ac:dyDescent="0.3">
      <c r="B25" s="30" t="s">
        <v>38</v>
      </c>
      <c r="C25" s="31" t="s">
        <v>14</v>
      </c>
      <c r="D25" s="32"/>
      <c r="E25" s="33">
        <v>0</v>
      </c>
      <c r="F25" s="33">
        <v>13120.513337999997</v>
      </c>
      <c r="G25" s="73">
        <f t="shared" si="4"/>
        <v>13120.513337999997</v>
      </c>
      <c r="P25" s="20"/>
      <c r="Q25" s="226"/>
      <c r="R25" s="226"/>
      <c r="S25" s="226"/>
      <c r="T25" s="30" t="s">
        <v>38</v>
      </c>
      <c r="U25" s="36"/>
      <c r="V25" s="36"/>
      <c r="W25" s="37">
        <f>+G25-U25-V25</f>
        <v>13120.513337999997</v>
      </c>
      <c r="X25" s="226"/>
      <c r="Y25" s="226"/>
      <c r="Z25" s="226"/>
      <c r="AA25" s="21"/>
    </row>
    <row r="26" spans="2:27" x14ac:dyDescent="0.3">
      <c r="B26" s="74" t="s">
        <v>39</v>
      </c>
      <c r="C26" s="75" t="s">
        <v>14</v>
      </c>
      <c r="D26" s="32"/>
      <c r="E26" s="76">
        <v>61695.596389421749</v>
      </c>
      <c r="F26" s="76">
        <v>0</v>
      </c>
      <c r="G26" s="77">
        <f t="shared" si="4"/>
        <v>61695.596389421749</v>
      </c>
      <c r="P26" s="20"/>
      <c r="Q26" s="226"/>
      <c r="R26" s="226"/>
      <c r="S26" s="226"/>
      <c r="T26" s="74" t="s">
        <v>39</v>
      </c>
      <c r="U26" s="36"/>
      <c r="V26" s="36"/>
      <c r="W26" s="37">
        <f t="shared" ref="W26:W28" si="5">+G26-U26-V26</f>
        <v>61695.596389421749</v>
      </c>
      <c r="X26" s="226"/>
      <c r="Y26" s="226"/>
      <c r="Z26" s="226"/>
      <c r="AA26" s="21"/>
    </row>
    <row r="27" spans="2:27" x14ac:dyDescent="0.3">
      <c r="B27" s="78" t="s">
        <v>40</v>
      </c>
      <c r="C27" s="75" t="s">
        <v>14</v>
      </c>
      <c r="D27" s="32"/>
      <c r="E27" s="76">
        <v>0</v>
      </c>
      <c r="F27" s="76">
        <v>0</v>
      </c>
      <c r="G27" s="77">
        <f t="shared" si="4"/>
        <v>0</v>
      </c>
      <c r="P27" s="20"/>
      <c r="Q27" s="226"/>
      <c r="R27" s="226"/>
      <c r="S27" s="226"/>
      <c r="T27" s="78" t="s">
        <v>40</v>
      </c>
      <c r="U27" s="36"/>
      <c r="V27" s="36"/>
      <c r="W27" s="37">
        <f t="shared" si="5"/>
        <v>0</v>
      </c>
      <c r="X27" s="226"/>
      <c r="Y27" s="226"/>
      <c r="Z27" s="226"/>
      <c r="AA27" s="21"/>
    </row>
    <row r="28" spans="2:27" x14ac:dyDescent="0.3">
      <c r="B28" s="74" t="s">
        <v>41</v>
      </c>
      <c r="C28" s="75" t="s">
        <v>14</v>
      </c>
      <c r="D28" s="32"/>
      <c r="E28" s="76">
        <v>1871.1069144035871</v>
      </c>
      <c r="F28" s="76">
        <v>2692.3070579954392</v>
      </c>
      <c r="G28" s="77">
        <f t="shared" si="4"/>
        <v>4563.4139723990265</v>
      </c>
      <c r="P28" s="20"/>
      <c r="Q28" s="226"/>
      <c r="R28" s="226"/>
      <c r="S28" s="226"/>
      <c r="T28" s="74" t="s">
        <v>41</v>
      </c>
      <c r="U28" s="36"/>
      <c r="V28" s="36"/>
      <c r="W28" s="37">
        <f t="shared" si="5"/>
        <v>4563.4139723990265</v>
      </c>
      <c r="X28" s="226"/>
      <c r="Y28" s="226"/>
      <c r="Z28" s="226"/>
      <c r="AA28" s="21"/>
    </row>
    <row r="29" spans="2:27" x14ac:dyDescent="0.3">
      <c r="B29" s="79" t="s">
        <v>42</v>
      </c>
      <c r="C29" s="80" t="s">
        <v>36</v>
      </c>
      <c r="D29" s="32"/>
      <c r="E29" s="81">
        <v>63566.703303825336</v>
      </c>
      <c r="F29" s="81">
        <v>15812.820395995437</v>
      </c>
      <c r="G29" s="82">
        <f t="shared" si="4"/>
        <v>79379.523699820769</v>
      </c>
      <c r="P29" s="20"/>
      <c r="Q29" s="226"/>
      <c r="R29" s="226"/>
      <c r="S29" s="226"/>
      <c r="T29" s="79" t="s">
        <v>42</v>
      </c>
      <c r="U29" s="81">
        <f>SUM(U25:U28)</f>
        <v>0</v>
      </c>
      <c r="V29" s="81">
        <f>SUM(V25:V28)</f>
        <v>0</v>
      </c>
      <c r="W29" s="81">
        <f>SUM(W25:W28)</f>
        <v>79379.523699820769</v>
      </c>
      <c r="X29" s="226"/>
      <c r="Y29" s="226"/>
      <c r="Z29" s="226"/>
      <c r="AA29" s="21"/>
    </row>
    <row r="30" spans="2:27" x14ac:dyDescent="0.3">
      <c r="B30" s="30" t="s">
        <v>43</v>
      </c>
      <c r="C30" s="83" t="s">
        <v>14</v>
      </c>
      <c r="D30" s="32"/>
      <c r="E30" s="84">
        <v>11180.620744788161</v>
      </c>
      <c r="F30" s="84">
        <v>0</v>
      </c>
      <c r="G30" s="77">
        <f t="shared" si="4"/>
        <v>11180.620744788161</v>
      </c>
      <c r="P30" s="20"/>
      <c r="Q30" s="226"/>
      <c r="R30" s="226"/>
      <c r="S30" s="226"/>
      <c r="T30" s="30" t="s">
        <v>43</v>
      </c>
      <c r="U30" s="36"/>
      <c r="V30" s="36"/>
      <c r="W30" s="37">
        <f>+G30-U30-V30</f>
        <v>11180.620744788161</v>
      </c>
      <c r="X30" s="226"/>
      <c r="Y30" s="226"/>
      <c r="Z30" s="226"/>
      <c r="AA30" s="21"/>
    </row>
    <row r="31" spans="2:27" x14ac:dyDescent="0.3">
      <c r="B31" s="74" t="s">
        <v>44</v>
      </c>
      <c r="C31" s="75" t="s">
        <v>14</v>
      </c>
      <c r="D31" s="32"/>
      <c r="E31" s="76">
        <v>0</v>
      </c>
      <c r="F31" s="76">
        <v>34020.301649999994</v>
      </c>
      <c r="G31" s="77">
        <f t="shared" si="4"/>
        <v>34020.301649999994</v>
      </c>
      <c r="P31" s="20"/>
      <c r="Q31" s="226"/>
      <c r="R31" s="226"/>
      <c r="S31" s="226"/>
      <c r="T31" s="74" t="s">
        <v>44</v>
      </c>
      <c r="U31" s="36"/>
      <c r="V31" s="36"/>
      <c r="W31" s="37">
        <f t="shared" ref="W31:W35" si="6">+G31-U31-V31</f>
        <v>34020.301649999994</v>
      </c>
      <c r="X31" s="226"/>
      <c r="Y31" s="226"/>
      <c r="Z31" s="226"/>
      <c r="AA31" s="21"/>
    </row>
    <row r="32" spans="2:27" x14ac:dyDescent="0.3">
      <c r="B32" s="85" t="s">
        <v>45</v>
      </c>
      <c r="C32" s="75" t="s">
        <v>14</v>
      </c>
      <c r="D32" s="32"/>
      <c r="E32" s="76">
        <v>0</v>
      </c>
      <c r="F32" s="76">
        <v>0</v>
      </c>
      <c r="G32" s="77">
        <f t="shared" si="4"/>
        <v>0</v>
      </c>
      <c r="P32" s="20"/>
      <c r="Q32" s="226"/>
      <c r="R32" s="226"/>
      <c r="S32" s="226"/>
      <c r="T32" s="85" t="s">
        <v>45</v>
      </c>
      <c r="U32" s="36"/>
      <c r="V32" s="36"/>
      <c r="W32" s="37">
        <f t="shared" si="6"/>
        <v>0</v>
      </c>
      <c r="X32" s="226"/>
      <c r="Y32" s="226"/>
      <c r="Z32" s="226"/>
      <c r="AA32" s="21"/>
    </row>
    <row r="33" spans="2:27" x14ac:dyDescent="0.3">
      <c r="B33" s="85" t="s">
        <v>46</v>
      </c>
      <c r="C33" s="75" t="s">
        <v>14</v>
      </c>
      <c r="D33" s="32"/>
      <c r="E33" s="76">
        <v>0</v>
      </c>
      <c r="F33" s="76">
        <v>0</v>
      </c>
      <c r="G33" s="77">
        <f>E33+F33</f>
        <v>0</v>
      </c>
      <c r="P33" s="20"/>
      <c r="Q33" s="226"/>
      <c r="R33" s="226"/>
      <c r="S33" s="226"/>
      <c r="T33" s="85" t="s">
        <v>46</v>
      </c>
      <c r="U33" s="36"/>
      <c r="V33" s="36"/>
      <c r="W33" s="37">
        <f t="shared" si="6"/>
        <v>0</v>
      </c>
      <c r="X33" s="226"/>
      <c r="Y33" s="226"/>
      <c r="Z33" s="226"/>
      <c r="AA33" s="21"/>
    </row>
    <row r="34" spans="2:27" x14ac:dyDescent="0.3">
      <c r="B34" s="85" t="s">
        <v>47</v>
      </c>
      <c r="C34" s="75" t="s">
        <v>14</v>
      </c>
      <c r="D34" s="32"/>
      <c r="E34" s="76">
        <v>0</v>
      </c>
      <c r="F34" s="76">
        <v>0</v>
      </c>
      <c r="G34" s="77">
        <f t="shared" si="4"/>
        <v>0</v>
      </c>
      <c r="P34" s="20"/>
      <c r="Q34" s="226"/>
      <c r="R34" s="226"/>
      <c r="S34" s="226"/>
      <c r="T34" s="85" t="s">
        <v>47</v>
      </c>
      <c r="U34" s="36"/>
      <c r="V34" s="36"/>
      <c r="W34" s="37">
        <f t="shared" si="6"/>
        <v>0</v>
      </c>
      <c r="X34" s="226"/>
      <c r="Y34" s="226"/>
      <c r="Z34" s="226"/>
      <c r="AA34" s="21"/>
    </row>
    <row r="35" spans="2:27" x14ac:dyDescent="0.3">
      <c r="B35" s="85" t="s">
        <v>48</v>
      </c>
      <c r="C35" s="75" t="s">
        <v>14</v>
      </c>
      <c r="D35" s="32"/>
      <c r="E35" s="76">
        <v>0</v>
      </c>
      <c r="F35" s="76">
        <v>0</v>
      </c>
      <c r="G35" s="77">
        <f t="shared" si="4"/>
        <v>0</v>
      </c>
      <c r="P35" s="20"/>
      <c r="Q35" s="226"/>
      <c r="R35" s="226"/>
      <c r="S35" s="226"/>
      <c r="T35" s="85" t="s">
        <v>48</v>
      </c>
      <c r="U35" s="36"/>
      <c r="V35" s="36"/>
      <c r="W35" s="37">
        <f t="shared" si="6"/>
        <v>0</v>
      </c>
      <c r="X35" s="226"/>
      <c r="Y35" s="226"/>
      <c r="Z35" s="226"/>
      <c r="AA35" s="21"/>
    </row>
    <row r="36" spans="2:27" x14ac:dyDescent="0.3">
      <c r="B36" s="74" t="s">
        <v>49</v>
      </c>
      <c r="C36" s="75" t="s">
        <v>14</v>
      </c>
      <c r="D36" s="32"/>
      <c r="E36" s="76">
        <v>10922.162307717801</v>
      </c>
      <c r="F36" s="76">
        <v>1232.5483789106393</v>
      </c>
      <c r="G36" s="77">
        <f t="shared" si="4"/>
        <v>12154.710686628441</v>
      </c>
      <c r="P36" s="20"/>
      <c r="Q36" s="226"/>
      <c r="R36" s="226"/>
      <c r="S36" s="226"/>
      <c r="T36" s="74" t="s">
        <v>49</v>
      </c>
      <c r="U36" s="36"/>
      <c r="V36" s="36"/>
      <c r="W36" s="37">
        <f>+G36-U36-V36</f>
        <v>12154.710686628441</v>
      </c>
      <c r="X36" s="226"/>
      <c r="Y36" s="226"/>
      <c r="Z36" s="226"/>
      <c r="AA36" s="21"/>
    </row>
    <row r="37" spans="2:27" ht="18" x14ac:dyDescent="0.3">
      <c r="B37" s="74" t="s">
        <v>50</v>
      </c>
      <c r="C37" s="75" t="s">
        <v>14</v>
      </c>
      <c r="D37" s="32"/>
      <c r="E37" s="76">
        <v>20.063326473266663</v>
      </c>
      <c r="F37" s="76">
        <v>0</v>
      </c>
      <c r="G37" s="77">
        <f t="shared" si="4"/>
        <v>20.063326473266663</v>
      </c>
      <c r="H37" s="7"/>
      <c r="P37" s="20"/>
      <c r="Q37" s="226"/>
      <c r="R37" s="226"/>
      <c r="S37" s="226"/>
      <c r="T37" s="74" t="s">
        <v>50</v>
      </c>
      <c r="U37" s="36"/>
      <c r="V37" s="36"/>
      <c r="W37" s="37">
        <f>+G37-U37-V37</f>
        <v>20.063326473266663</v>
      </c>
      <c r="X37" s="226"/>
      <c r="Y37" s="226"/>
      <c r="Z37" s="226"/>
      <c r="AA37" s="21"/>
    </row>
    <row r="38" spans="2:27" x14ac:dyDescent="0.3">
      <c r="B38" s="43" t="s">
        <v>51</v>
      </c>
      <c r="C38" s="80" t="s">
        <v>36</v>
      </c>
      <c r="D38" s="32"/>
      <c r="E38" s="81">
        <f>+E30+E31+E36+E37</f>
        <v>22122.846378979229</v>
      </c>
      <c r="F38" s="81">
        <f>+F30+F31+F36+F37</f>
        <v>35252.85002891063</v>
      </c>
      <c r="G38" s="82">
        <f t="shared" si="4"/>
        <v>57375.69640788986</v>
      </c>
      <c r="H38" s="7"/>
      <c r="P38" s="20"/>
      <c r="Q38" s="226"/>
      <c r="R38" s="226"/>
      <c r="S38" s="226"/>
      <c r="T38" s="43" t="s">
        <v>51</v>
      </c>
      <c r="U38" s="81">
        <f>U37+U36+U31+U30</f>
        <v>0</v>
      </c>
      <c r="V38" s="81"/>
      <c r="W38" s="81">
        <f>W37+W36+W31+W30</f>
        <v>57375.69640788986</v>
      </c>
      <c r="X38" s="226"/>
      <c r="Y38" s="226"/>
      <c r="Z38" s="226"/>
      <c r="AA38" s="21"/>
    </row>
    <row r="39" spans="2:27" ht="18" x14ac:dyDescent="0.3">
      <c r="B39" s="41" t="s">
        <v>52</v>
      </c>
      <c r="C39" s="86" t="s">
        <v>14</v>
      </c>
      <c r="D39" s="32"/>
      <c r="E39" s="87">
        <v>0</v>
      </c>
      <c r="F39" s="87">
        <v>0</v>
      </c>
      <c r="G39" s="73">
        <f t="shared" si="4"/>
        <v>0</v>
      </c>
      <c r="H39" s="7"/>
      <c r="P39" s="20"/>
      <c r="Q39" s="226"/>
      <c r="R39" s="226"/>
      <c r="S39" s="226"/>
      <c r="T39" s="41" t="s">
        <v>52</v>
      </c>
      <c r="U39" s="88"/>
      <c r="V39" s="88"/>
      <c r="W39" s="37">
        <f>+G39-U39-V39</f>
        <v>0</v>
      </c>
      <c r="X39" s="226"/>
      <c r="Y39" s="226"/>
      <c r="Z39" s="226"/>
      <c r="AA39" s="21"/>
    </row>
    <row r="40" spans="2:27" ht="18" x14ac:dyDescent="0.3">
      <c r="B40" s="41" t="s">
        <v>53</v>
      </c>
      <c r="C40" s="86" t="s">
        <v>14</v>
      </c>
      <c r="D40" s="32"/>
      <c r="E40" s="87">
        <v>18169.305306981609</v>
      </c>
      <c r="F40" s="87">
        <v>0</v>
      </c>
      <c r="G40" s="73">
        <f t="shared" si="4"/>
        <v>18169.305306981609</v>
      </c>
      <c r="H40" s="7"/>
      <c r="P40" s="20"/>
      <c r="Q40" s="226"/>
      <c r="R40" s="226"/>
      <c r="S40" s="226"/>
      <c r="T40" s="41" t="s">
        <v>53</v>
      </c>
      <c r="U40" s="51"/>
      <c r="V40" s="51"/>
      <c r="W40" s="37">
        <f>G40</f>
        <v>18169.305306981609</v>
      </c>
      <c r="X40" s="226"/>
      <c r="Y40" s="226"/>
      <c r="Z40" s="226"/>
      <c r="AA40" s="21"/>
    </row>
    <row r="41" spans="2:27" x14ac:dyDescent="0.3">
      <c r="B41" s="46" t="s">
        <v>54</v>
      </c>
      <c r="C41" s="47" t="s">
        <v>25</v>
      </c>
      <c r="D41" s="48"/>
      <c r="E41" s="202">
        <f>+E74</f>
        <v>0.5</v>
      </c>
      <c r="F41" s="201"/>
      <c r="G41" s="50"/>
      <c r="H41" s="7"/>
      <c r="P41" s="20"/>
      <c r="Q41" s="226"/>
      <c r="R41" s="226"/>
      <c r="S41" s="226"/>
      <c r="T41" s="46" t="s">
        <v>54</v>
      </c>
      <c r="U41" s="51"/>
      <c r="V41" s="51"/>
      <c r="W41" s="37">
        <f t="shared" ref="W41:W43" si="7">G41</f>
        <v>0</v>
      </c>
      <c r="X41" s="226"/>
      <c r="Y41" s="226"/>
      <c r="Z41" s="226"/>
      <c r="AA41" s="21"/>
    </row>
    <row r="42" spans="2:27" x14ac:dyDescent="0.3">
      <c r="B42" s="46" t="s">
        <v>55</v>
      </c>
      <c r="C42" s="47" t="s">
        <v>25</v>
      </c>
      <c r="D42" s="48"/>
      <c r="E42" s="201">
        <v>1</v>
      </c>
      <c r="F42" s="201">
        <v>1</v>
      </c>
      <c r="G42" s="50"/>
      <c r="H42" s="7"/>
      <c r="P42" s="89" t="s">
        <v>56</v>
      </c>
      <c r="Q42" s="90" t="s">
        <v>57</v>
      </c>
      <c r="R42" s="90" t="s">
        <v>58</v>
      </c>
      <c r="S42" s="227"/>
      <c r="T42" s="46" t="s">
        <v>55</v>
      </c>
      <c r="U42" s="51"/>
      <c r="V42" s="51"/>
      <c r="W42" s="37">
        <f t="shared" si="7"/>
        <v>0</v>
      </c>
      <c r="X42" s="226"/>
      <c r="Y42" s="226"/>
      <c r="Z42" s="226"/>
      <c r="AA42" s="21"/>
    </row>
    <row r="43" spans="2:27" ht="18" x14ac:dyDescent="0.3">
      <c r="B43" s="30" t="s">
        <v>59</v>
      </c>
      <c r="C43" s="86" t="s">
        <v>25</v>
      </c>
      <c r="D43" s="32"/>
      <c r="E43" s="87">
        <f>+E40*E41/E42</f>
        <v>9084.6526534908044</v>
      </c>
      <c r="F43" s="87">
        <f>+F40*F41/F42</f>
        <v>0</v>
      </c>
      <c r="G43" s="91">
        <f>E43+F43</f>
        <v>9084.6526534908044</v>
      </c>
      <c r="H43" s="7"/>
      <c r="P43" s="30" t="s">
        <v>60</v>
      </c>
      <c r="Q43" s="36"/>
      <c r="R43" s="36"/>
      <c r="S43" s="226"/>
      <c r="T43" s="30" t="s">
        <v>59</v>
      </c>
      <c r="U43" s="51"/>
      <c r="V43" s="51"/>
      <c r="W43" s="37">
        <f t="shared" si="7"/>
        <v>9084.6526534908044</v>
      </c>
      <c r="X43" s="226"/>
      <c r="Y43" s="226"/>
      <c r="Z43" s="226"/>
      <c r="AA43" s="21"/>
    </row>
    <row r="44" spans="2:27" x14ac:dyDescent="0.3">
      <c r="B44" s="30" t="s">
        <v>34</v>
      </c>
      <c r="C44" s="31" t="s">
        <v>14</v>
      </c>
      <c r="D44" s="32"/>
      <c r="E44" s="87"/>
      <c r="F44" s="87">
        <v>16536.652194056351</v>
      </c>
      <c r="G44" s="73">
        <f>E44+F44</f>
        <v>16536.652194056351</v>
      </c>
      <c r="H44" s="7"/>
      <c r="P44" s="30" t="s">
        <v>61</v>
      </c>
      <c r="Q44" s="36"/>
      <c r="R44" s="36"/>
      <c r="S44" s="226"/>
      <c r="T44" s="30" t="s">
        <v>34</v>
      </c>
      <c r="U44" s="36"/>
      <c r="V44" s="36"/>
      <c r="W44" s="37">
        <f>+G44-U44-V44</f>
        <v>16536.652194056351</v>
      </c>
      <c r="X44" s="226"/>
      <c r="Y44" s="226"/>
      <c r="Z44" s="226"/>
      <c r="AA44" s="21"/>
    </row>
    <row r="45" spans="2:27" ht="18" x14ac:dyDescent="0.3">
      <c r="B45" s="59" t="s">
        <v>62</v>
      </c>
      <c r="C45" s="60" t="s">
        <v>36</v>
      </c>
      <c r="D45" s="32"/>
      <c r="E45" s="92">
        <f>E24+E29+E38+E39+E43+E44</f>
        <v>125373.44923374648</v>
      </c>
      <c r="F45" s="92">
        <f>F24+F29+F38+F39+F43+F44</f>
        <v>75442.42609633242</v>
      </c>
      <c r="G45" s="93">
        <f>E45+F45</f>
        <v>200815.87533007888</v>
      </c>
      <c r="H45" s="7"/>
      <c r="P45" s="89" t="s">
        <v>56</v>
      </c>
      <c r="Q45" s="94">
        <f>+Q43+Q44</f>
        <v>0</v>
      </c>
      <c r="R45" s="94">
        <f>+R43+R44</f>
        <v>0</v>
      </c>
      <c r="S45" s="226"/>
      <c r="T45" s="59" t="s">
        <v>62</v>
      </c>
      <c r="U45" s="62"/>
      <c r="V45" s="95"/>
      <c r="W45" s="92">
        <f>W24+W29+W38+W39+W43+W44</f>
        <v>200815.87533007888</v>
      </c>
      <c r="X45" s="226"/>
      <c r="Y45" s="226"/>
      <c r="Z45" s="226"/>
      <c r="AA45" s="21"/>
    </row>
    <row r="46" spans="2:27" x14ac:dyDescent="0.3">
      <c r="B46" s="30" t="s">
        <v>63</v>
      </c>
      <c r="C46" s="31" t="s">
        <v>25</v>
      </c>
      <c r="D46" s="32"/>
      <c r="E46" s="96">
        <f>+Q43+Q44</f>
        <v>0</v>
      </c>
      <c r="F46" s="96">
        <f>+R43+R44</f>
        <v>0</v>
      </c>
      <c r="G46" s="73">
        <f>E46+F46</f>
        <v>0</v>
      </c>
      <c r="H46" s="7"/>
      <c r="P46" s="20"/>
      <c r="Q46" s="226"/>
      <c r="R46" s="226"/>
      <c r="S46" s="226"/>
      <c r="T46" s="30" t="s">
        <v>63</v>
      </c>
      <c r="U46" s="62"/>
      <c r="V46" s="97"/>
      <c r="W46" s="37">
        <f>+G46</f>
        <v>0</v>
      </c>
      <c r="X46" s="226"/>
      <c r="Y46" s="226"/>
      <c r="Z46" s="226"/>
      <c r="AA46" s="21"/>
    </row>
    <row r="47" spans="2:27" ht="18.600000000000001" thickBot="1" x14ac:dyDescent="0.35">
      <c r="B47" s="98" t="s">
        <v>64</v>
      </c>
      <c r="C47" s="99" t="s">
        <v>36</v>
      </c>
      <c r="D47" s="32"/>
      <c r="E47" s="61">
        <f>E22+E45</f>
        <v>314646.88238407474</v>
      </c>
      <c r="F47" s="61">
        <f>F22+F45</f>
        <v>211996.49494665622</v>
      </c>
      <c r="G47" s="100">
        <f>E47+F47</f>
        <v>526643.3773307309</v>
      </c>
      <c r="H47" s="7"/>
      <c r="P47" s="20"/>
      <c r="Q47" s="226"/>
      <c r="R47" s="226"/>
      <c r="S47" s="226"/>
      <c r="T47" s="98" t="s">
        <v>64</v>
      </c>
      <c r="U47" s="62"/>
      <c r="V47" s="95"/>
      <c r="W47" s="92">
        <f>+W45-W46+W22</f>
        <v>490728.00000000006</v>
      </c>
      <c r="X47" s="226"/>
      <c r="Y47" s="226"/>
      <c r="Z47" s="226"/>
      <c r="AA47" s="21"/>
    </row>
    <row r="48" spans="2:27" ht="16.2" thickBot="1" x14ac:dyDescent="0.35">
      <c r="B48" s="101" t="s">
        <v>65</v>
      </c>
      <c r="C48" s="102" t="s">
        <v>25</v>
      </c>
      <c r="D48" s="66"/>
      <c r="E48" s="103"/>
      <c r="F48" s="103">
        <f>+G110</f>
        <v>0</v>
      </c>
      <c r="G48" s="104">
        <f>+E48+F48</f>
        <v>0</v>
      </c>
      <c r="H48" s="7"/>
      <c r="P48" s="222"/>
      <c r="Q48" s="224"/>
      <c r="R48" s="224"/>
      <c r="S48" s="226"/>
      <c r="T48" s="226"/>
      <c r="U48" s="226"/>
      <c r="V48" s="226"/>
      <c r="W48" s="226"/>
      <c r="X48" s="226"/>
      <c r="Y48" s="226"/>
      <c r="Z48" s="226"/>
      <c r="AA48" s="21"/>
    </row>
    <row r="49" spans="2:27" x14ac:dyDescent="0.3">
      <c r="B49" s="105"/>
      <c r="C49" s="66"/>
      <c r="D49" s="66"/>
      <c r="E49" s="7"/>
      <c r="F49" s="7"/>
      <c r="G49" s="68"/>
      <c r="H49" s="7"/>
      <c r="P49" s="228"/>
      <c r="Q49" s="225"/>
      <c r="R49" s="225"/>
      <c r="S49" s="226"/>
      <c r="T49" s="226"/>
      <c r="U49" s="226"/>
      <c r="V49" s="226"/>
      <c r="W49" s="226"/>
      <c r="X49" s="226"/>
      <c r="Y49" s="226"/>
      <c r="Z49" s="226"/>
      <c r="AA49" s="21"/>
    </row>
    <row r="50" spans="2:27" ht="18.600000000000001" thickBot="1" x14ac:dyDescent="0.4">
      <c r="B50" s="106" t="s">
        <v>66</v>
      </c>
      <c r="C50" s="107"/>
      <c r="D50" s="66"/>
      <c r="E50" s="107"/>
      <c r="F50" s="107"/>
      <c r="G50" s="68"/>
      <c r="H50" s="7"/>
      <c r="P50" s="228"/>
      <c r="Q50" s="225"/>
      <c r="R50" s="225"/>
      <c r="S50" s="226"/>
      <c r="T50" s="106" t="s">
        <v>66</v>
      </c>
      <c r="U50" s="226"/>
      <c r="V50" s="226"/>
      <c r="W50" s="226"/>
      <c r="X50" s="226"/>
      <c r="Y50" s="226"/>
      <c r="Z50" s="226"/>
      <c r="AA50" s="21"/>
    </row>
    <row r="51" spans="2:27" ht="18" x14ac:dyDescent="0.3">
      <c r="B51" s="69" t="s">
        <v>67</v>
      </c>
      <c r="C51" s="108" t="s">
        <v>68</v>
      </c>
      <c r="D51" s="66"/>
      <c r="E51" s="71"/>
      <c r="F51" s="71"/>
      <c r="G51" s="109"/>
      <c r="H51" s="7"/>
      <c r="P51" s="222"/>
      <c r="Q51" s="225"/>
      <c r="R51" s="225"/>
      <c r="S51" s="226"/>
      <c r="T51" s="69" t="s">
        <v>67</v>
      </c>
      <c r="U51" s="88"/>
      <c r="V51" s="88"/>
      <c r="W51" s="110">
        <f>+G51-U51-V51</f>
        <v>0</v>
      </c>
      <c r="X51" s="226"/>
      <c r="Y51" s="226"/>
      <c r="Z51" s="226"/>
      <c r="AA51" s="21"/>
    </row>
    <row r="52" spans="2:27" ht="18" x14ac:dyDescent="0.3">
      <c r="B52" s="41" t="s">
        <v>69</v>
      </c>
      <c r="C52" s="31" t="s">
        <v>68</v>
      </c>
      <c r="D52" s="66"/>
      <c r="E52" s="87"/>
      <c r="F52" s="87"/>
      <c r="G52" s="111"/>
      <c r="H52" s="7"/>
      <c r="P52" s="223"/>
      <c r="Q52" s="225"/>
      <c r="R52" s="225"/>
      <c r="S52" s="226"/>
      <c r="T52" s="41" t="s">
        <v>69</v>
      </c>
      <c r="U52" s="88"/>
      <c r="V52" s="88"/>
      <c r="W52" s="110">
        <f>+G52-U52-V52</f>
        <v>0</v>
      </c>
      <c r="X52" s="226"/>
      <c r="Y52" s="226"/>
      <c r="Z52" s="226"/>
      <c r="AA52" s="21"/>
    </row>
    <row r="53" spans="2:27" ht="18" x14ac:dyDescent="0.3">
      <c r="B53" s="59" t="s">
        <v>70</v>
      </c>
      <c r="C53" s="60" t="s">
        <v>36</v>
      </c>
      <c r="D53" s="66"/>
      <c r="E53" s="112">
        <f>E22+E51+E52-Q43</f>
        <v>189273.43315032826</v>
      </c>
      <c r="F53" s="112">
        <f>F22+F51+F52-R43</f>
        <v>136554.06885032382</v>
      </c>
      <c r="G53" s="113">
        <f>F53+E53</f>
        <v>325827.50200065208</v>
      </c>
      <c r="H53" s="7"/>
      <c r="P53" s="223"/>
      <c r="Q53" s="225"/>
      <c r="R53" s="225"/>
      <c r="S53" s="226"/>
      <c r="T53" s="59" t="s">
        <v>70</v>
      </c>
      <c r="U53" s="95"/>
      <c r="V53" s="95"/>
      <c r="W53" s="92">
        <f>W22+W51+W52-Q43-R43</f>
        <v>289912.12466992118</v>
      </c>
      <c r="X53" s="226" t="s">
        <v>71</v>
      </c>
      <c r="Y53" s="226"/>
      <c r="Z53" s="226"/>
      <c r="AA53" s="21"/>
    </row>
    <row r="54" spans="2:27" ht="18" x14ac:dyDescent="0.3">
      <c r="B54" s="41" t="s">
        <v>72</v>
      </c>
      <c r="C54" s="31" t="s">
        <v>68</v>
      </c>
      <c r="D54" s="66"/>
      <c r="E54" s="87"/>
      <c r="F54" s="87"/>
      <c r="G54" s="111"/>
      <c r="H54" s="7"/>
      <c r="P54" s="223"/>
      <c r="Q54" s="225"/>
      <c r="R54" s="225"/>
      <c r="S54" s="226"/>
      <c r="T54" s="41" t="s">
        <v>72</v>
      </c>
      <c r="U54" s="88"/>
      <c r="V54" s="88"/>
      <c r="W54" s="110">
        <f>+G54-V54-U54</f>
        <v>0</v>
      </c>
      <c r="X54" s="226"/>
      <c r="Y54" s="226"/>
      <c r="Z54" s="226"/>
      <c r="AA54" s="21"/>
    </row>
    <row r="55" spans="2:27" ht="18" x14ac:dyDescent="0.3">
      <c r="B55" s="59" t="s">
        <v>73</v>
      </c>
      <c r="C55" s="60" t="s">
        <v>36</v>
      </c>
      <c r="D55" s="66"/>
      <c r="E55" s="112">
        <f>E54+E45-Q44</f>
        <v>125373.44923374648</v>
      </c>
      <c r="F55" s="112">
        <f>F54+F45-R44</f>
        <v>75442.42609633242</v>
      </c>
      <c r="G55" s="113">
        <f>F55+E55</f>
        <v>200815.87533007888</v>
      </c>
      <c r="H55" s="7"/>
      <c r="P55" s="223"/>
      <c r="Q55" s="225"/>
      <c r="R55" s="225"/>
      <c r="S55" s="226"/>
      <c r="T55" s="59" t="s">
        <v>73</v>
      </c>
      <c r="U55" s="95"/>
      <c r="V55" s="95"/>
      <c r="W55" s="92">
        <f>+W45-Q44-R44+W54</f>
        <v>200815.87533007888</v>
      </c>
      <c r="X55" s="226" t="s">
        <v>74</v>
      </c>
      <c r="Y55" s="226"/>
      <c r="Z55" s="226"/>
      <c r="AA55" s="21"/>
    </row>
    <row r="56" spans="2:27" ht="18.600000000000001" thickBot="1" x14ac:dyDescent="0.35">
      <c r="B56" s="98" t="s">
        <v>75</v>
      </c>
      <c r="C56" s="99" t="s">
        <v>36</v>
      </c>
      <c r="D56" s="66"/>
      <c r="E56" s="114">
        <f>E53+E55</f>
        <v>314646.88238407474</v>
      </c>
      <c r="F56" s="114">
        <f>F53+F55</f>
        <v>211996.49494665622</v>
      </c>
      <c r="G56" s="115">
        <f>F56+E56</f>
        <v>526643.3773307309</v>
      </c>
      <c r="H56" s="7"/>
      <c r="P56" s="223"/>
      <c r="Q56" s="225"/>
      <c r="R56" s="225"/>
      <c r="S56" s="226"/>
      <c r="T56" s="98" t="s">
        <v>75</v>
      </c>
      <c r="U56" s="95"/>
      <c r="V56" s="95"/>
      <c r="W56" s="92">
        <f>+W53+W55</f>
        <v>490728.00000000006</v>
      </c>
      <c r="X56" s="226"/>
      <c r="Y56" s="226"/>
      <c r="Z56" s="226"/>
      <c r="AA56" s="21"/>
    </row>
    <row r="57" spans="2:27" ht="16.8" thickBot="1" x14ac:dyDescent="0.4">
      <c r="B57" s="116" t="s">
        <v>76</v>
      </c>
      <c r="C57" s="32"/>
      <c r="D57" s="66"/>
      <c r="E57" s="32"/>
      <c r="F57" s="32"/>
      <c r="G57" s="117"/>
      <c r="H57" s="7"/>
      <c r="P57" s="223"/>
      <c r="Q57" s="225"/>
      <c r="R57" s="225"/>
      <c r="S57" s="226"/>
      <c r="T57" s="226"/>
      <c r="U57" s="229"/>
      <c r="V57" s="229"/>
      <c r="W57" s="226"/>
      <c r="X57" s="226"/>
      <c r="Y57" s="226"/>
      <c r="Z57" s="226"/>
      <c r="AA57" s="21"/>
    </row>
    <row r="58" spans="2:27" ht="18.600000000000001" thickBot="1" x14ac:dyDescent="0.35">
      <c r="B58" s="118" t="s">
        <v>77</v>
      </c>
      <c r="C58" s="119" t="s">
        <v>68</v>
      </c>
      <c r="D58" s="66"/>
      <c r="E58" s="120"/>
      <c r="F58" s="120"/>
      <c r="G58" s="121"/>
      <c r="H58" s="7"/>
      <c r="P58" s="223"/>
      <c r="Q58" s="225"/>
      <c r="R58" s="225"/>
      <c r="S58" s="226"/>
      <c r="T58" s="226"/>
      <c r="U58" s="226"/>
      <c r="V58" s="226"/>
      <c r="W58" s="229"/>
      <c r="X58" s="226"/>
      <c r="Y58" s="226"/>
      <c r="Z58" s="226"/>
      <c r="AA58" s="21"/>
    </row>
    <row r="59" spans="2:27" ht="16.2" thickBot="1" x14ac:dyDescent="0.35">
      <c r="B59" s="64"/>
      <c r="C59" s="66"/>
      <c r="D59" s="66"/>
      <c r="E59" s="122"/>
      <c r="F59" s="122"/>
      <c r="G59" s="123"/>
      <c r="H59" s="7"/>
      <c r="P59" s="223"/>
      <c r="Q59" s="225"/>
      <c r="R59" s="225"/>
      <c r="S59" s="226"/>
      <c r="T59" s="226"/>
      <c r="U59" s="226"/>
      <c r="V59" s="226"/>
      <c r="W59" s="226"/>
      <c r="X59" s="226"/>
      <c r="Y59" s="226"/>
      <c r="Z59" s="226"/>
      <c r="AA59" s="21"/>
    </row>
    <row r="60" spans="2:27" ht="18.600000000000001" thickBot="1" x14ac:dyDescent="0.35">
      <c r="B60" s="98" t="s">
        <v>78</v>
      </c>
      <c r="C60" s="99"/>
      <c r="D60" s="66"/>
      <c r="E60" s="124"/>
      <c r="F60" s="124"/>
      <c r="G60" s="115">
        <f>G56-G58</f>
        <v>526643.3773307309</v>
      </c>
      <c r="H60" s="7"/>
      <c r="P60" s="20"/>
      <c r="Q60" s="226"/>
      <c r="R60" s="226"/>
      <c r="S60" s="226"/>
      <c r="T60" s="90" t="s">
        <v>79</v>
      </c>
      <c r="U60" s="125"/>
      <c r="V60" s="125"/>
      <c r="W60" s="126" t="str">
        <f>+IF((W56/G87)&lt;=G83,"Rispetto del vincolo di crescita alle entrate tariffarie","verificare")</f>
        <v>Rispetto del vincolo di crescita alle entrate tariffarie</v>
      </c>
      <c r="X60" s="226"/>
      <c r="Y60" s="226"/>
      <c r="Z60" s="226"/>
      <c r="AA60" s="21"/>
    </row>
    <row r="61" spans="2:27" x14ac:dyDescent="0.3">
      <c r="B61" s="64"/>
      <c r="C61" s="66"/>
      <c r="D61" s="66"/>
      <c r="E61" s="67"/>
      <c r="F61" s="67"/>
      <c r="G61" s="68"/>
      <c r="H61" s="7"/>
      <c r="P61" s="20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1"/>
    </row>
    <row r="62" spans="2:27" s="7" customFormat="1" ht="16.2" thickBot="1" x14ac:dyDescent="0.35">
      <c r="B62" s="127" t="s">
        <v>80</v>
      </c>
      <c r="C62" s="128"/>
      <c r="D62" s="128"/>
      <c r="E62" s="128"/>
      <c r="F62" s="128"/>
      <c r="G62" s="129"/>
      <c r="P62" s="20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1"/>
    </row>
    <row r="63" spans="2:27" s="7" customFormat="1" x14ac:dyDescent="0.3">
      <c r="B63" s="69" t="s">
        <v>81</v>
      </c>
      <c r="C63" s="70" t="s">
        <v>14</v>
      </c>
      <c r="D63" s="32"/>
      <c r="E63" s="130"/>
      <c r="F63" s="130"/>
      <c r="G63" s="131"/>
      <c r="P63" s="20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1"/>
    </row>
    <row r="64" spans="2:27" s="7" customFormat="1" ht="16.5" customHeight="1" x14ac:dyDescent="0.3">
      <c r="B64" s="132" t="s">
        <v>82</v>
      </c>
      <c r="C64" s="133" t="s">
        <v>14</v>
      </c>
      <c r="D64" s="32"/>
      <c r="E64" s="134">
        <v>2116950</v>
      </c>
      <c r="F64" s="134"/>
      <c r="G64" s="135"/>
      <c r="P64" s="20"/>
      <c r="Q64" s="226"/>
      <c r="R64" s="226"/>
      <c r="S64" s="226"/>
      <c r="T64" s="227" t="s">
        <v>83</v>
      </c>
      <c r="U64" s="226"/>
      <c r="V64" s="226"/>
      <c r="W64" s="226"/>
      <c r="X64" s="226"/>
      <c r="Y64" s="226"/>
      <c r="Z64" s="226"/>
      <c r="AA64" s="21"/>
    </row>
    <row r="65" spans="2:27" s="7" customFormat="1" ht="16.5" customHeight="1" x14ac:dyDescent="0.3">
      <c r="B65" s="136" t="s">
        <v>84</v>
      </c>
      <c r="C65" s="133" t="s">
        <v>14</v>
      </c>
      <c r="D65" s="32"/>
      <c r="E65" s="137">
        <v>0.23524410118330616</v>
      </c>
      <c r="F65" s="137"/>
      <c r="G65" s="135"/>
      <c r="P65" s="20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1"/>
    </row>
    <row r="66" spans="2:27" s="7" customFormat="1" x14ac:dyDescent="0.3">
      <c r="B66" s="136" t="s">
        <v>85</v>
      </c>
      <c r="C66" s="133" t="s">
        <v>25</v>
      </c>
      <c r="D66" s="32"/>
      <c r="E66" s="138"/>
      <c r="F66" s="138"/>
      <c r="G66" s="139"/>
      <c r="P66" s="20"/>
      <c r="Q66" s="226"/>
      <c r="R66" s="226"/>
      <c r="S66" s="226"/>
      <c r="T66" s="36" t="s">
        <v>86</v>
      </c>
      <c r="U66" s="125"/>
      <c r="V66" s="125"/>
      <c r="W66" s="36">
        <f>+IF((W53/G85)&gt;1.2,W53-G85*1.2,0)</f>
        <v>0</v>
      </c>
      <c r="X66" s="226"/>
      <c r="Y66" s="226"/>
      <c r="Z66" s="226"/>
      <c r="AA66" s="21"/>
    </row>
    <row r="67" spans="2:27" s="7" customFormat="1" ht="16.2" thickBot="1" x14ac:dyDescent="0.35">
      <c r="B67" s="101" t="s">
        <v>87</v>
      </c>
      <c r="C67" s="140" t="s">
        <v>25</v>
      </c>
      <c r="D67" s="32"/>
      <c r="E67" s="141"/>
      <c r="F67" s="141"/>
      <c r="G67" s="142"/>
      <c r="P67" s="20"/>
      <c r="Q67" s="226"/>
      <c r="R67" s="226"/>
      <c r="S67" s="226"/>
      <c r="T67" s="36" t="s">
        <v>88</v>
      </c>
      <c r="U67" s="125"/>
      <c r="V67" s="125"/>
      <c r="W67" s="36">
        <f>+IF((W53/G85)&lt;0.8,G85*0.8-W53,0)</f>
        <v>0</v>
      </c>
      <c r="X67" s="226"/>
      <c r="Y67" s="226"/>
      <c r="Z67" s="226"/>
      <c r="AA67" s="21"/>
    </row>
    <row r="68" spans="2:27" s="7" customFormat="1" x14ac:dyDescent="0.3">
      <c r="B68" s="105"/>
      <c r="C68" s="32"/>
      <c r="D68" s="32"/>
      <c r="E68" s="19"/>
      <c r="F68" s="19"/>
      <c r="G68" s="21"/>
      <c r="P68" s="20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1"/>
    </row>
    <row r="69" spans="2:27" s="7" customFormat="1" ht="16.2" thickBot="1" x14ac:dyDescent="0.35">
      <c r="B69" s="127" t="s">
        <v>89</v>
      </c>
      <c r="C69" s="128"/>
      <c r="D69" s="128"/>
      <c r="E69" s="128"/>
      <c r="F69" s="128"/>
      <c r="G69" s="21"/>
      <c r="P69" s="20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1"/>
    </row>
    <row r="70" spans="2:27" s="7" customFormat="1" ht="18.600000000000001" thickBot="1" x14ac:dyDescent="0.35">
      <c r="B70" s="143" t="s">
        <v>90</v>
      </c>
      <c r="C70" s="144" t="s">
        <v>25</v>
      </c>
      <c r="D70" s="145"/>
      <c r="E70" s="146">
        <v>-0.25</v>
      </c>
      <c r="F70" s="146"/>
      <c r="G70" s="147"/>
      <c r="P70" s="20"/>
      <c r="Q70" s="226"/>
      <c r="R70" s="226"/>
      <c r="S70" s="226"/>
      <c r="T70" s="227" t="s">
        <v>91</v>
      </c>
      <c r="U70" s="226"/>
      <c r="V70" s="226"/>
      <c r="W70" s="226"/>
      <c r="X70" s="226"/>
      <c r="Y70" s="226"/>
      <c r="Z70" s="226"/>
      <c r="AA70" s="21"/>
    </row>
    <row r="71" spans="2:27" s="7" customFormat="1" ht="18" x14ac:dyDescent="0.3">
      <c r="B71" s="148" t="s">
        <v>92</v>
      </c>
      <c r="C71" s="133" t="s">
        <v>25</v>
      </c>
      <c r="D71" s="145"/>
      <c r="E71" s="149">
        <v>-0.2</v>
      </c>
      <c r="F71" s="149"/>
      <c r="G71" s="135"/>
      <c r="P71" s="20"/>
      <c r="Q71" s="226"/>
      <c r="R71" s="226"/>
      <c r="S71" s="226"/>
      <c r="T71" s="150" t="s">
        <v>93</v>
      </c>
      <c r="U71" s="125"/>
      <c r="V71" s="125"/>
      <c r="W71" s="126">
        <f>+W53-W66+W67</f>
        <v>289912.12466992118</v>
      </c>
      <c r="X71" s="226"/>
      <c r="Y71" s="226"/>
      <c r="Z71" s="226"/>
      <c r="AA71" s="21"/>
    </row>
    <row r="72" spans="2:27" s="7" customFormat="1" ht="18.600000000000001" thickBot="1" x14ac:dyDescent="0.35">
      <c r="B72" s="148" t="s">
        <v>94</v>
      </c>
      <c r="C72" s="133" t="s">
        <v>25</v>
      </c>
      <c r="D72" s="145"/>
      <c r="E72" s="149">
        <v>-0.05</v>
      </c>
      <c r="F72" s="149"/>
      <c r="G72" s="135"/>
      <c r="P72" s="20"/>
      <c r="Q72" s="226"/>
      <c r="R72" s="226"/>
      <c r="S72" s="226"/>
      <c r="T72" s="151" t="s">
        <v>95</v>
      </c>
      <c r="U72" s="125"/>
      <c r="V72" s="125"/>
      <c r="W72" s="37">
        <f>+W55+W66-W67</f>
        <v>200815.87533007888</v>
      </c>
      <c r="X72" s="226"/>
      <c r="Y72" s="226"/>
      <c r="Z72" s="226"/>
      <c r="AA72" s="21"/>
    </row>
    <row r="73" spans="2:27" s="7" customFormat="1" ht="16.2" thickBot="1" x14ac:dyDescent="0.35">
      <c r="B73" s="98" t="s">
        <v>96</v>
      </c>
      <c r="C73" s="99" t="s">
        <v>36</v>
      </c>
      <c r="D73" s="152"/>
      <c r="E73" s="153">
        <f>+SUM(E70:E72)</f>
        <v>-0.5</v>
      </c>
      <c r="F73" s="153">
        <f>+SUM(F70:F72)</f>
        <v>0</v>
      </c>
      <c r="G73" s="154"/>
      <c r="H73" s="10"/>
      <c r="P73" s="20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1"/>
    </row>
    <row r="74" spans="2:27" s="7" customFormat="1" ht="16.2" thickBot="1" x14ac:dyDescent="0.35">
      <c r="B74" s="98" t="s">
        <v>97</v>
      </c>
      <c r="C74" s="99" t="s">
        <v>36</v>
      </c>
      <c r="D74" s="152"/>
      <c r="E74" s="155">
        <f>1+E73</f>
        <v>0.5</v>
      </c>
      <c r="F74" s="155">
        <f>1+F73</f>
        <v>1</v>
      </c>
      <c r="G74" s="154"/>
      <c r="H74" s="10"/>
      <c r="P74" s="20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1"/>
    </row>
    <row r="75" spans="2:27" x14ac:dyDescent="0.3">
      <c r="B75" s="64"/>
      <c r="C75" s="66"/>
      <c r="D75" s="66"/>
      <c r="E75" s="67"/>
      <c r="F75" s="67"/>
      <c r="G75" s="68"/>
      <c r="P75" s="20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1"/>
    </row>
    <row r="76" spans="2:27" ht="16.2" thickBot="1" x14ac:dyDescent="0.35">
      <c r="B76" s="156" t="s">
        <v>98</v>
      </c>
      <c r="C76" s="128"/>
      <c r="D76" s="128"/>
      <c r="E76" s="157"/>
      <c r="F76" s="157"/>
      <c r="G76" s="21"/>
      <c r="P76" s="20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1"/>
    </row>
    <row r="77" spans="2:27" ht="18.600000000000001" thickBot="1" x14ac:dyDescent="0.45">
      <c r="B77" s="158" t="s">
        <v>99</v>
      </c>
      <c r="C77" s="159" t="s">
        <v>100</v>
      </c>
      <c r="E77" s="160"/>
      <c r="F77" s="160"/>
      <c r="G77" s="161">
        <v>1.7000000000000001E-2</v>
      </c>
      <c r="P77" s="20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1"/>
    </row>
    <row r="78" spans="2:27" ht="18" x14ac:dyDescent="0.3">
      <c r="B78" s="46" t="s">
        <v>101</v>
      </c>
      <c r="C78" s="47" t="s">
        <v>25</v>
      </c>
      <c r="D78" s="32"/>
      <c r="E78" s="160"/>
      <c r="F78" s="160"/>
      <c r="G78" s="162">
        <v>1E-3</v>
      </c>
      <c r="P78" s="20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1"/>
    </row>
    <row r="79" spans="2:27" ht="18" x14ac:dyDescent="0.3">
      <c r="B79" s="46" t="s">
        <v>102</v>
      </c>
      <c r="C79" s="47" t="s">
        <v>25</v>
      </c>
      <c r="D79" s="32"/>
      <c r="E79" s="163"/>
      <c r="F79" s="163"/>
      <c r="G79" s="162">
        <v>0</v>
      </c>
      <c r="P79" s="20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1"/>
    </row>
    <row r="80" spans="2:27" ht="18" x14ac:dyDescent="0.3">
      <c r="B80" s="46" t="s">
        <v>103</v>
      </c>
      <c r="C80" s="47" t="s">
        <v>25</v>
      </c>
      <c r="D80" s="32"/>
      <c r="E80" s="163"/>
      <c r="F80" s="163"/>
      <c r="G80" s="162">
        <v>0</v>
      </c>
      <c r="P80" s="20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1"/>
    </row>
    <row r="81" spans="2:27" ht="18" x14ac:dyDescent="0.3">
      <c r="B81" s="30" t="s">
        <v>104</v>
      </c>
      <c r="C81" s="31" t="s">
        <v>68</v>
      </c>
      <c r="D81" s="32"/>
      <c r="E81" s="163"/>
      <c r="F81" s="163"/>
      <c r="G81" s="162">
        <v>0</v>
      </c>
      <c r="P81" s="20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1"/>
    </row>
    <row r="82" spans="2:27" x14ac:dyDescent="0.3">
      <c r="B82" s="59" t="s">
        <v>105</v>
      </c>
      <c r="C82" s="60" t="s">
        <v>36</v>
      </c>
      <c r="D82" s="32"/>
      <c r="E82" s="163"/>
      <c r="F82" s="163"/>
      <c r="G82" s="164">
        <f>MIN(6.6%,G77-G78+G79+G80+G81)</f>
        <v>1.6E-2</v>
      </c>
      <c r="P82" s="20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1"/>
    </row>
    <row r="83" spans="2:27" x14ac:dyDescent="0.3">
      <c r="B83" s="59" t="s">
        <v>106</v>
      </c>
      <c r="C83" s="60" t="s">
        <v>36</v>
      </c>
      <c r="D83" s="32"/>
      <c r="E83" s="163"/>
      <c r="F83" s="163"/>
      <c r="G83" s="165">
        <f>(1+G82)</f>
        <v>1.016</v>
      </c>
      <c r="H83" s="7"/>
      <c r="P83" s="20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1"/>
    </row>
    <row r="84" spans="2:27" ht="18" x14ac:dyDescent="0.3">
      <c r="B84" s="166" t="s">
        <v>107</v>
      </c>
      <c r="C84" s="167" t="s">
        <v>36</v>
      </c>
      <c r="D84" s="168"/>
      <c r="E84" s="169"/>
      <c r="F84" s="169"/>
      <c r="G84" s="170">
        <f>G56</f>
        <v>526643.3773307309</v>
      </c>
      <c r="H84" s="7"/>
      <c r="P84" s="20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1"/>
    </row>
    <row r="85" spans="2:27" ht="18.600000000000001" thickBot="1" x14ac:dyDescent="0.35">
      <c r="B85" s="171" t="s">
        <v>108</v>
      </c>
      <c r="C85" s="172" t="s">
        <v>25</v>
      </c>
      <c r="D85" s="168"/>
      <c r="E85" s="173"/>
      <c r="F85" s="173"/>
      <c r="G85" s="174">
        <v>319741.58</v>
      </c>
      <c r="H85" s="7"/>
      <c r="I85" s="10" t="s">
        <v>109</v>
      </c>
      <c r="P85" s="20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1"/>
    </row>
    <row r="86" spans="2:27" ht="18.600000000000001" thickBot="1" x14ac:dyDescent="0.35">
      <c r="B86" s="171" t="s">
        <v>110</v>
      </c>
      <c r="C86" s="172" t="s">
        <v>25</v>
      </c>
      <c r="D86" s="168"/>
      <c r="E86" s="173"/>
      <c r="F86" s="173"/>
      <c r="G86" s="174">
        <v>163258.41999999998</v>
      </c>
      <c r="H86" s="7"/>
      <c r="I86" s="10" t="s">
        <v>109</v>
      </c>
      <c r="P86" s="20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1"/>
    </row>
    <row r="87" spans="2:27" ht="18.600000000000001" thickBot="1" x14ac:dyDescent="0.35">
      <c r="B87" s="98" t="s">
        <v>111</v>
      </c>
      <c r="C87" s="99" t="s">
        <v>36</v>
      </c>
      <c r="E87" s="175"/>
      <c r="F87" s="175"/>
      <c r="G87" s="204">
        <f>G85+G86</f>
        <v>483000</v>
      </c>
      <c r="H87" s="7"/>
      <c r="I87" s="10" t="s">
        <v>109</v>
      </c>
      <c r="P87" s="20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1"/>
    </row>
    <row r="88" spans="2:27" ht="18.600000000000001" thickBot="1" x14ac:dyDescent="0.35">
      <c r="B88" s="98" t="s">
        <v>112</v>
      </c>
      <c r="C88" s="99" t="s">
        <v>36</v>
      </c>
      <c r="D88" s="177"/>
      <c r="E88" s="124"/>
      <c r="F88" s="124"/>
      <c r="G88" s="176">
        <f>G84/G87</f>
        <v>1.0903589592768756</v>
      </c>
      <c r="H88" s="7"/>
      <c r="P88" s="20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1"/>
    </row>
    <row r="89" spans="2:27" s="7" customFormat="1" ht="16.2" thickBot="1" x14ac:dyDescent="0.35">
      <c r="C89" s="168"/>
      <c r="D89" s="168"/>
      <c r="G89" s="178"/>
      <c r="P89" s="20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1"/>
    </row>
    <row r="90" spans="2:27" s="7" customFormat="1" x14ac:dyDescent="0.3">
      <c r="B90" s="179" t="s">
        <v>113</v>
      </c>
      <c r="C90" s="180" t="s">
        <v>36</v>
      </c>
      <c r="D90" s="181"/>
      <c r="E90" s="163"/>
      <c r="F90" s="163"/>
      <c r="G90" s="182">
        <f>IF(G84&lt;=G87*G83,G84,G87*G83)</f>
        <v>490728</v>
      </c>
      <c r="P90" s="20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1"/>
    </row>
    <row r="91" spans="2:27" s="7" customFormat="1" ht="16.2" thickBot="1" x14ac:dyDescent="0.35">
      <c r="B91" s="183" t="s">
        <v>114</v>
      </c>
      <c r="C91" s="184" t="s">
        <v>36</v>
      </c>
      <c r="D91" s="185"/>
      <c r="E91" s="124"/>
      <c r="F91" s="124"/>
      <c r="G91" s="186">
        <f>G84-G90</f>
        <v>35915.377330730902</v>
      </c>
      <c r="P91" s="20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1"/>
    </row>
    <row r="92" spans="2:27" s="7" customFormat="1" x14ac:dyDescent="0.3">
      <c r="E92" s="107"/>
      <c r="F92" s="107"/>
      <c r="P92" s="20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1"/>
    </row>
    <row r="93" spans="2:27" s="7" customFormat="1" ht="18.600000000000001" thickBot="1" x14ac:dyDescent="0.4">
      <c r="B93" s="106" t="s">
        <v>91</v>
      </c>
      <c r="C93" s="107"/>
      <c r="P93" s="20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1"/>
    </row>
    <row r="94" spans="2:27" s="7" customFormat="1" ht="18.600000000000001" thickBot="1" x14ac:dyDescent="0.35">
      <c r="B94" s="150" t="s">
        <v>93</v>
      </c>
      <c r="C94" s="187" t="s">
        <v>25</v>
      </c>
      <c r="D94" s="188"/>
      <c r="E94" s="175"/>
      <c r="F94" s="175"/>
      <c r="G94" s="189">
        <f>+W71</f>
        <v>289912.12466992118</v>
      </c>
      <c r="P94" s="20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1"/>
    </row>
    <row r="95" spans="2:27" s="7" customFormat="1" ht="18.600000000000001" thickBot="1" x14ac:dyDescent="0.35">
      <c r="B95" s="151" t="s">
        <v>95</v>
      </c>
      <c r="C95" s="190" t="s">
        <v>25</v>
      </c>
      <c r="D95" s="188"/>
      <c r="E95" s="124"/>
      <c r="F95" s="124"/>
      <c r="G95" s="191">
        <f>+W72</f>
        <v>200815.87533007888</v>
      </c>
      <c r="P95" s="20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1"/>
    </row>
    <row r="96" spans="2:27" s="7" customFormat="1" ht="16.2" thickBot="1" x14ac:dyDescent="0.35">
      <c r="P96" s="20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1"/>
    </row>
    <row r="97" spans="2:27" s="10" customFormat="1" ht="18" thickBot="1" x14ac:dyDescent="0.35">
      <c r="B97" s="192" t="s">
        <v>115</v>
      </c>
      <c r="C97" s="193" t="s">
        <v>14</v>
      </c>
      <c r="D97" s="188"/>
      <c r="E97" s="194"/>
      <c r="F97" s="194"/>
      <c r="G97" s="195">
        <f>E97+F97</f>
        <v>0</v>
      </c>
      <c r="H97" s="7"/>
      <c r="P97" s="196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197"/>
    </row>
    <row r="98" spans="2:27" s="7" customFormat="1" ht="16.2" thickBot="1" x14ac:dyDescent="0.35">
      <c r="P98" s="198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200"/>
    </row>
    <row r="99" spans="2:27" s="7" customFormat="1" x14ac:dyDescent="0.3"/>
    <row r="100" spans="2:27" s="7" customFormat="1" x14ac:dyDescent="0.3">
      <c r="B100" s="213" t="s">
        <v>124</v>
      </c>
      <c r="G100" s="214">
        <f>+G94+G95</f>
        <v>490728.00000000006</v>
      </c>
      <c r="H100" s="10"/>
    </row>
    <row r="101" spans="2:27" s="7" customFormat="1" x14ac:dyDescent="0.3">
      <c r="H101" s="10"/>
    </row>
    <row r="102" spans="2:27" s="7" customFormat="1" x14ac:dyDescent="0.3">
      <c r="B102" s="213" t="s">
        <v>125</v>
      </c>
      <c r="H102" s="10"/>
    </row>
    <row r="103" spans="2:27" s="7" customFormat="1" x14ac:dyDescent="0.3">
      <c r="B103" s="207" t="s">
        <v>126</v>
      </c>
      <c r="G103" s="215"/>
      <c r="H103" s="10"/>
    </row>
    <row r="104" spans="2:27" s="7" customFormat="1" x14ac:dyDescent="0.3">
      <c r="B104" s="207"/>
      <c r="G104" s="215"/>
      <c r="H104" s="10"/>
    </row>
    <row r="105" spans="2:27" s="7" customFormat="1" x14ac:dyDescent="0.3">
      <c r="B105" s="207"/>
      <c r="G105" s="215"/>
      <c r="H105" s="10"/>
    </row>
    <row r="106" spans="2:27" s="7" customFormat="1" x14ac:dyDescent="0.3">
      <c r="B106" s="207"/>
      <c r="G106" s="215"/>
      <c r="H106" s="10"/>
    </row>
    <row r="107" spans="2:27" s="7" customFormat="1" x14ac:dyDescent="0.3">
      <c r="B107" s="218"/>
      <c r="C107" s="219"/>
      <c r="D107" s="219"/>
      <c r="E107" s="219"/>
      <c r="F107" s="219"/>
      <c r="G107" s="220"/>
      <c r="H107" s="221"/>
    </row>
    <row r="108" spans="2:27" s="7" customFormat="1" x14ac:dyDescent="0.3">
      <c r="B108" s="218"/>
      <c r="C108" s="219"/>
      <c r="D108" s="219"/>
      <c r="E108" s="219"/>
      <c r="F108" s="219"/>
      <c r="G108" s="220"/>
      <c r="H108" s="221"/>
    </row>
    <row r="109" spans="2:27" s="7" customFormat="1" x14ac:dyDescent="0.3">
      <c r="B109" s="207"/>
      <c r="G109" s="215"/>
      <c r="H109" s="10"/>
    </row>
    <row r="110" spans="2:27" s="7" customFormat="1" x14ac:dyDescent="0.3">
      <c r="B110" s="213" t="s">
        <v>127</v>
      </c>
      <c r="G110" s="216">
        <f>+SUM(G103:G109)</f>
        <v>0</v>
      </c>
      <c r="H110" s="10"/>
    </row>
    <row r="111" spans="2:27" s="7" customFormat="1" x14ac:dyDescent="0.3">
      <c r="G111" s="217"/>
      <c r="H111" s="10"/>
    </row>
    <row r="112" spans="2:27" s="7" customFormat="1" x14ac:dyDescent="0.3">
      <c r="B112" s="213" t="s">
        <v>128</v>
      </c>
      <c r="G112" s="216">
        <f>+G100-G110</f>
        <v>490728.00000000006</v>
      </c>
      <c r="H112" s="10"/>
    </row>
    <row r="113" spans="8:8" s="7" customFormat="1" x14ac:dyDescent="0.3">
      <c r="H113" s="10"/>
    </row>
    <row r="114" spans="8:8" s="7" customFormat="1" x14ac:dyDescent="0.3">
      <c r="H114" s="10"/>
    </row>
    <row r="115" spans="8:8" s="7" customFormat="1" x14ac:dyDescent="0.3">
      <c r="H115" s="10"/>
    </row>
    <row r="116" spans="8:8" s="7" customFormat="1" x14ac:dyDescent="0.3">
      <c r="H116" s="10"/>
    </row>
    <row r="117" spans="8:8" s="7" customFormat="1" x14ac:dyDescent="0.3">
      <c r="H117" s="10"/>
    </row>
    <row r="118" spans="8:8" s="7" customFormat="1" x14ac:dyDescent="0.3">
      <c r="H118" s="10"/>
    </row>
    <row r="119" spans="8:8" s="7" customFormat="1" x14ac:dyDescent="0.3">
      <c r="H119" s="10"/>
    </row>
    <row r="120" spans="8:8" s="7" customFormat="1" x14ac:dyDescent="0.3">
      <c r="H120" s="10"/>
    </row>
    <row r="121" spans="8:8" s="7" customFormat="1" x14ac:dyDescent="0.3">
      <c r="H121" s="10"/>
    </row>
    <row r="122" spans="8:8" s="7" customFormat="1" x14ac:dyDescent="0.3">
      <c r="H122" s="10"/>
    </row>
    <row r="123" spans="8:8" s="7" customFormat="1" x14ac:dyDescent="0.3">
      <c r="H123" s="10"/>
    </row>
    <row r="124" spans="8:8" s="7" customFormat="1" x14ac:dyDescent="0.3">
      <c r="H124" s="10"/>
    </row>
    <row r="125" spans="8:8" s="7" customFormat="1" x14ac:dyDescent="0.3">
      <c r="H125" s="10"/>
    </row>
    <row r="126" spans="8:8" s="7" customFormat="1" x14ac:dyDescent="0.3">
      <c r="H126" s="10"/>
    </row>
    <row r="127" spans="8:8" s="7" customFormat="1" x14ac:dyDescent="0.3">
      <c r="H127" s="10"/>
    </row>
    <row r="128" spans="8:8" s="7" customFormat="1" x14ac:dyDescent="0.3">
      <c r="H128" s="10"/>
    </row>
    <row r="129" spans="8:8" s="7" customFormat="1" x14ac:dyDescent="0.3">
      <c r="H129" s="10"/>
    </row>
    <row r="130" spans="8:8" s="7" customFormat="1" x14ac:dyDescent="0.3">
      <c r="H130" s="10"/>
    </row>
    <row r="131" spans="8:8" s="7" customFormat="1" x14ac:dyDescent="0.3">
      <c r="H131" s="10"/>
    </row>
    <row r="132" spans="8:8" s="7" customFormat="1" x14ac:dyDescent="0.3">
      <c r="H132" s="10"/>
    </row>
    <row r="133" spans="8:8" s="7" customFormat="1" x14ac:dyDescent="0.3">
      <c r="H133" s="10"/>
    </row>
    <row r="134" spans="8:8" s="7" customFormat="1" x14ac:dyDescent="0.3">
      <c r="H134" s="10"/>
    </row>
    <row r="135" spans="8:8" s="7" customFormat="1" x14ac:dyDescent="0.3">
      <c r="H135" s="10"/>
    </row>
    <row r="136" spans="8:8" s="7" customFormat="1" x14ac:dyDescent="0.3">
      <c r="H136" s="10"/>
    </row>
    <row r="137" spans="8:8" s="7" customFormat="1" x14ac:dyDescent="0.3">
      <c r="H137" s="10"/>
    </row>
    <row r="138" spans="8:8" s="7" customFormat="1" x14ac:dyDescent="0.3">
      <c r="H138" s="10"/>
    </row>
    <row r="139" spans="8:8" s="7" customFormat="1" x14ac:dyDescent="0.3">
      <c r="H139" s="10"/>
    </row>
    <row r="140" spans="8:8" s="7" customFormat="1" x14ac:dyDescent="0.3">
      <c r="H140" s="10"/>
    </row>
    <row r="141" spans="8:8" s="7" customFormat="1" x14ac:dyDescent="0.3">
      <c r="H141" s="10"/>
    </row>
    <row r="142" spans="8:8" s="7" customFormat="1" x14ac:dyDescent="0.3">
      <c r="H142" s="10"/>
    </row>
    <row r="143" spans="8:8" s="7" customFormat="1" x14ac:dyDescent="0.3">
      <c r="H143" s="10"/>
    </row>
    <row r="144" spans="8:8" s="7" customFormat="1" x14ac:dyDescent="0.3">
      <c r="H144" s="10"/>
    </row>
    <row r="145" spans="8:8" s="7" customFormat="1" x14ac:dyDescent="0.3">
      <c r="H145" s="10"/>
    </row>
    <row r="146" spans="8:8" s="7" customFormat="1" x14ac:dyDescent="0.3">
      <c r="H146" s="10"/>
    </row>
    <row r="147" spans="8:8" s="7" customFormat="1" x14ac:dyDescent="0.3">
      <c r="H147" s="10"/>
    </row>
    <row r="148" spans="8:8" s="7" customFormat="1" x14ac:dyDescent="0.3">
      <c r="H148" s="10"/>
    </row>
    <row r="149" spans="8:8" s="7" customFormat="1" x14ac:dyDescent="0.3">
      <c r="H149" s="10"/>
    </row>
    <row r="150" spans="8:8" s="7" customFormat="1" x14ac:dyDescent="0.3">
      <c r="H150" s="10"/>
    </row>
    <row r="151" spans="8:8" s="7" customFormat="1" x14ac:dyDescent="0.3">
      <c r="H151" s="10"/>
    </row>
    <row r="152" spans="8:8" s="7" customFormat="1" x14ac:dyDescent="0.3">
      <c r="H152" s="10"/>
    </row>
    <row r="153" spans="8:8" s="7" customFormat="1" x14ac:dyDescent="0.3">
      <c r="H153" s="10"/>
    </row>
    <row r="154" spans="8:8" s="7" customFormat="1" x14ac:dyDescent="0.3">
      <c r="H154" s="10"/>
    </row>
    <row r="155" spans="8:8" s="7" customFormat="1" x14ac:dyDescent="0.3">
      <c r="H155" s="10"/>
    </row>
    <row r="156" spans="8:8" s="7" customFormat="1" x14ac:dyDescent="0.3">
      <c r="H156" s="10"/>
    </row>
    <row r="157" spans="8:8" s="7" customFormat="1" x14ac:dyDescent="0.3">
      <c r="H157" s="10"/>
    </row>
    <row r="158" spans="8:8" s="7" customFormat="1" x14ac:dyDescent="0.3">
      <c r="H158" s="10"/>
    </row>
    <row r="159" spans="8:8" s="7" customFormat="1" x14ac:dyDescent="0.3">
      <c r="H159" s="10"/>
    </row>
    <row r="160" spans="8:8" s="7" customFormat="1" x14ac:dyDescent="0.3">
      <c r="H160" s="10"/>
    </row>
    <row r="161" spans="8:8" s="7" customFormat="1" x14ac:dyDescent="0.3">
      <c r="H161" s="10"/>
    </row>
    <row r="162" spans="8:8" s="7" customFormat="1" x14ac:dyDescent="0.3">
      <c r="H162" s="10"/>
    </row>
    <row r="163" spans="8:8" s="7" customFormat="1" x14ac:dyDescent="0.3">
      <c r="H163" s="10"/>
    </row>
    <row r="164" spans="8:8" s="7" customFormat="1" x14ac:dyDescent="0.3">
      <c r="H164" s="10"/>
    </row>
    <row r="165" spans="8:8" s="7" customFormat="1" x14ac:dyDescent="0.3">
      <c r="H165" s="10"/>
    </row>
    <row r="166" spans="8:8" s="7" customFormat="1" x14ac:dyDescent="0.3">
      <c r="H166" s="10"/>
    </row>
    <row r="167" spans="8:8" s="7" customFormat="1" x14ac:dyDescent="0.3">
      <c r="H167" s="10"/>
    </row>
    <row r="168" spans="8:8" s="7" customFormat="1" x14ac:dyDescent="0.3">
      <c r="H168" s="10"/>
    </row>
    <row r="169" spans="8:8" s="7" customFormat="1" x14ac:dyDescent="0.3">
      <c r="H169" s="10"/>
    </row>
    <row r="170" spans="8:8" s="7" customFormat="1" x14ac:dyDescent="0.3">
      <c r="H170" s="10"/>
    </row>
    <row r="171" spans="8:8" s="7" customFormat="1" x14ac:dyDescent="0.3">
      <c r="H171" s="10"/>
    </row>
    <row r="172" spans="8:8" s="7" customFormat="1" x14ac:dyDescent="0.3">
      <c r="H172" s="10"/>
    </row>
    <row r="173" spans="8:8" s="7" customFormat="1" x14ac:dyDescent="0.3">
      <c r="H173" s="10"/>
    </row>
    <row r="174" spans="8:8" s="7" customFormat="1" x14ac:dyDescent="0.3">
      <c r="H174" s="10"/>
    </row>
    <row r="175" spans="8:8" s="7" customFormat="1" x14ac:dyDescent="0.3">
      <c r="H175" s="10"/>
    </row>
    <row r="176" spans="8:8" s="7" customFormat="1" x14ac:dyDescent="0.3">
      <c r="H176" s="10"/>
    </row>
    <row r="177" spans="8:8" s="7" customFormat="1" x14ac:dyDescent="0.3">
      <c r="H177" s="10"/>
    </row>
    <row r="178" spans="8:8" s="7" customFormat="1" x14ac:dyDescent="0.3">
      <c r="H178" s="10"/>
    </row>
    <row r="179" spans="8:8" s="7" customFormat="1" x14ac:dyDescent="0.3">
      <c r="H179" s="10"/>
    </row>
    <row r="180" spans="8:8" s="7" customFormat="1" x14ac:dyDescent="0.3">
      <c r="H180" s="10"/>
    </row>
    <row r="181" spans="8:8" s="7" customFormat="1" x14ac:dyDescent="0.3">
      <c r="H181" s="10"/>
    </row>
    <row r="182" spans="8:8" s="7" customFormat="1" x14ac:dyDescent="0.3">
      <c r="H182" s="10"/>
    </row>
    <row r="183" spans="8:8" s="7" customFormat="1" x14ac:dyDescent="0.3">
      <c r="H183" s="10"/>
    </row>
    <row r="184" spans="8:8" s="7" customFormat="1" x14ac:dyDescent="0.3">
      <c r="H184" s="10"/>
    </row>
    <row r="185" spans="8:8" s="7" customFormat="1" x14ac:dyDescent="0.3">
      <c r="H185" s="10"/>
    </row>
    <row r="186" spans="8:8" s="7" customFormat="1" x14ac:dyDescent="0.3">
      <c r="H186" s="10"/>
    </row>
    <row r="187" spans="8:8" s="7" customFormat="1" x14ac:dyDescent="0.3">
      <c r="H187" s="10"/>
    </row>
    <row r="188" spans="8:8" s="7" customFormat="1" x14ac:dyDescent="0.3">
      <c r="H188" s="10"/>
    </row>
    <row r="189" spans="8:8" s="7" customFormat="1" x14ac:dyDescent="0.3">
      <c r="H189" s="10"/>
    </row>
    <row r="190" spans="8:8" s="7" customFormat="1" x14ac:dyDescent="0.3">
      <c r="H190" s="10"/>
    </row>
    <row r="191" spans="8:8" s="7" customFormat="1" x14ac:dyDescent="0.3">
      <c r="H191" s="10"/>
    </row>
    <row r="192" spans="8:8" s="7" customFormat="1" x14ac:dyDescent="0.3">
      <c r="H192" s="10"/>
    </row>
    <row r="193" spans="8:8" s="7" customFormat="1" x14ac:dyDescent="0.3">
      <c r="H193" s="10"/>
    </row>
    <row r="194" spans="8:8" s="7" customFormat="1" x14ac:dyDescent="0.3">
      <c r="H194" s="10"/>
    </row>
    <row r="195" spans="8:8" s="7" customFormat="1" x14ac:dyDescent="0.3">
      <c r="H195" s="10"/>
    </row>
    <row r="196" spans="8:8" s="7" customFormat="1" x14ac:dyDescent="0.3">
      <c r="H196" s="10"/>
    </row>
    <row r="197" spans="8:8" s="7" customFormat="1" x14ac:dyDescent="0.3">
      <c r="H197" s="10"/>
    </row>
    <row r="198" spans="8:8" s="7" customFormat="1" x14ac:dyDescent="0.3">
      <c r="H198" s="10"/>
    </row>
    <row r="199" spans="8:8" s="7" customFormat="1" x14ac:dyDescent="0.3">
      <c r="H199" s="10"/>
    </row>
    <row r="200" spans="8:8" s="7" customFormat="1" x14ac:dyDescent="0.3">
      <c r="H200" s="10"/>
    </row>
    <row r="201" spans="8:8" s="7" customFormat="1" x14ac:dyDescent="0.3">
      <c r="H201" s="10"/>
    </row>
    <row r="202" spans="8:8" s="7" customFormat="1" x14ac:dyDescent="0.3">
      <c r="H202" s="10"/>
    </row>
    <row r="203" spans="8:8" s="7" customFormat="1" x14ac:dyDescent="0.3">
      <c r="H203" s="10"/>
    </row>
    <row r="204" spans="8:8" s="7" customFormat="1" x14ac:dyDescent="0.3">
      <c r="H204" s="10"/>
    </row>
    <row r="205" spans="8:8" s="7" customFormat="1" x14ac:dyDescent="0.3">
      <c r="H205" s="10"/>
    </row>
    <row r="206" spans="8:8" s="7" customFormat="1" x14ac:dyDescent="0.3">
      <c r="H206" s="10"/>
    </row>
    <row r="207" spans="8:8" s="7" customFormat="1" x14ac:dyDescent="0.3">
      <c r="H207" s="10"/>
    </row>
    <row r="208" spans="8:8" s="7" customFormat="1" x14ac:dyDescent="0.3">
      <c r="H208" s="10"/>
    </row>
    <row r="209" spans="8:8" s="7" customFormat="1" x14ac:dyDescent="0.3">
      <c r="H209" s="10"/>
    </row>
    <row r="210" spans="8:8" s="7" customFormat="1" x14ac:dyDescent="0.3">
      <c r="H210" s="10"/>
    </row>
    <row r="211" spans="8:8" s="7" customFormat="1" x14ac:dyDescent="0.3">
      <c r="H211" s="10"/>
    </row>
    <row r="212" spans="8:8" s="7" customFormat="1" x14ac:dyDescent="0.3">
      <c r="H212" s="10"/>
    </row>
    <row r="213" spans="8:8" s="7" customFormat="1" x14ac:dyDescent="0.3">
      <c r="H213" s="10"/>
    </row>
    <row r="214" spans="8:8" s="7" customFormat="1" x14ac:dyDescent="0.3">
      <c r="H214" s="10"/>
    </row>
    <row r="215" spans="8:8" s="7" customFormat="1" x14ac:dyDescent="0.3">
      <c r="H215" s="10"/>
    </row>
    <row r="216" spans="8:8" s="7" customFormat="1" x14ac:dyDescent="0.3">
      <c r="H216" s="10"/>
    </row>
    <row r="217" spans="8:8" s="7" customFormat="1" x14ac:dyDescent="0.3">
      <c r="H217" s="10"/>
    </row>
    <row r="218" spans="8:8" s="7" customFormat="1" x14ac:dyDescent="0.3">
      <c r="H218" s="10"/>
    </row>
    <row r="219" spans="8:8" s="7" customFormat="1" x14ac:dyDescent="0.3">
      <c r="H219" s="10"/>
    </row>
    <row r="220" spans="8:8" s="7" customFormat="1" x14ac:dyDescent="0.3">
      <c r="H220" s="10"/>
    </row>
    <row r="221" spans="8:8" s="7" customFormat="1" x14ac:dyDescent="0.3">
      <c r="H221" s="10"/>
    </row>
    <row r="222" spans="8:8" s="7" customFormat="1" x14ac:dyDescent="0.3">
      <c r="H222" s="10"/>
    </row>
    <row r="223" spans="8:8" s="7" customFormat="1" x14ac:dyDescent="0.3">
      <c r="H223" s="10"/>
    </row>
    <row r="224" spans="8:8" s="7" customFormat="1" x14ac:dyDescent="0.3">
      <c r="H224" s="10"/>
    </row>
    <row r="225" spans="8:8" s="7" customFormat="1" x14ac:dyDescent="0.3">
      <c r="H225" s="10"/>
    </row>
    <row r="226" spans="8:8" s="7" customFormat="1" x14ac:dyDescent="0.3">
      <c r="H226" s="10"/>
    </row>
    <row r="227" spans="8:8" s="7" customFormat="1" x14ac:dyDescent="0.3">
      <c r="H227" s="10"/>
    </row>
    <row r="228" spans="8:8" s="7" customFormat="1" x14ac:dyDescent="0.3">
      <c r="H228" s="10"/>
    </row>
    <row r="229" spans="8:8" s="7" customFormat="1" x14ac:dyDescent="0.3">
      <c r="H229" s="10"/>
    </row>
    <row r="230" spans="8:8" s="7" customFormat="1" x14ac:dyDescent="0.3">
      <c r="H230" s="10"/>
    </row>
    <row r="231" spans="8:8" s="7" customFormat="1" x14ac:dyDescent="0.3">
      <c r="H231" s="10"/>
    </row>
    <row r="232" spans="8:8" s="7" customFormat="1" x14ac:dyDescent="0.3">
      <c r="H232" s="10"/>
    </row>
    <row r="233" spans="8:8" s="7" customFormat="1" x14ac:dyDescent="0.3">
      <c r="H233" s="10"/>
    </row>
    <row r="234" spans="8:8" s="7" customFormat="1" x14ac:dyDescent="0.3">
      <c r="H234" s="10"/>
    </row>
    <row r="235" spans="8:8" s="7" customFormat="1" x14ac:dyDescent="0.3">
      <c r="H235" s="10"/>
    </row>
    <row r="236" spans="8:8" s="7" customFormat="1" x14ac:dyDescent="0.3">
      <c r="H236" s="10"/>
    </row>
    <row r="237" spans="8:8" s="7" customFormat="1" x14ac:dyDescent="0.3">
      <c r="H237" s="10"/>
    </row>
    <row r="238" spans="8:8" s="7" customFormat="1" x14ac:dyDescent="0.3">
      <c r="H238" s="10"/>
    </row>
    <row r="239" spans="8:8" s="7" customFormat="1" x14ac:dyDescent="0.3">
      <c r="H239" s="10"/>
    </row>
    <row r="240" spans="8:8" s="7" customFormat="1" x14ac:dyDescent="0.3">
      <c r="H240" s="10"/>
    </row>
    <row r="241" spans="8:8" s="7" customFormat="1" x14ac:dyDescent="0.3">
      <c r="H241" s="10"/>
    </row>
    <row r="242" spans="8:8" s="7" customFormat="1" x14ac:dyDescent="0.3">
      <c r="H242" s="10"/>
    </row>
    <row r="243" spans="8:8" s="7" customFormat="1" x14ac:dyDescent="0.3">
      <c r="H243" s="10"/>
    </row>
    <row r="244" spans="8:8" s="7" customFormat="1" x14ac:dyDescent="0.3">
      <c r="H244" s="10"/>
    </row>
    <row r="245" spans="8:8" s="7" customFormat="1" x14ac:dyDescent="0.3">
      <c r="H245" s="10"/>
    </row>
    <row r="246" spans="8:8" s="7" customFormat="1" x14ac:dyDescent="0.3">
      <c r="H246" s="10"/>
    </row>
    <row r="247" spans="8:8" s="7" customFormat="1" x14ac:dyDescent="0.3">
      <c r="H247" s="10"/>
    </row>
    <row r="248" spans="8:8" s="7" customFormat="1" x14ac:dyDescent="0.3">
      <c r="H248" s="10"/>
    </row>
    <row r="249" spans="8:8" s="7" customFormat="1" x14ac:dyDescent="0.3">
      <c r="H249" s="10"/>
    </row>
    <row r="250" spans="8:8" s="7" customFormat="1" x14ac:dyDescent="0.3">
      <c r="H250" s="10"/>
    </row>
    <row r="251" spans="8:8" s="7" customFormat="1" x14ac:dyDescent="0.3">
      <c r="H251" s="10"/>
    </row>
    <row r="252" spans="8:8" s="7" customFormat="1" x14ac:dyDescent="0.3">
      <c r="H252" s="10"/>
    </row>
    <row r="253" spans="8:8" s="7" customFormat="1" x14ac:dyDescent="0.3">
      <c r="H253" s="10"/>
    </row>
    <row r="254" spans="8:8" s="7" customFormat="1" x14ac:dyDescent="0.3">
      <c r="H254" s="10"/>
    </row>
    <row r="255" spans="8:8" s="7" customFormat="1" x14ac:dyDescent="0.3">
      <c r="H255" s="10"/>
    </row>
    <row r="256" spans="8:8" s="7" customFormat="1" x14ac:dyDescent="0.3">
      <c r="H256" s="10"/>
    </row>
    <row r="257" spans="8:8" s="7" customFormat="1" x14ac:dyDescent="0.3">
      <c r="H257" s="10"/>
    </row>
    <row r="258" spans="8:8" s="7" customFormat="1" x14ac:dyDescent="0.3">
      <c r="H258" s="10"/>
    </row>
    <row r="259" spans="8:8" s="7" customFormat="1" x14ac:dyDescent="0.3">
      <c r="H259" s="10"/>
    </row>
    <row r="260" spans="8:8" s="7" customFormat="1" x14ac:dyDescent="0.3">
      <c r="H260" s="10"/>
    </row>
    <row r="261" spans="8:8" s="7" customFormat="1" x14ac:dyDescent="0.3">
      <c r="H261" s="10"/>
    </row>
    <row r="262" spans="8:8" s="7" customFormat="1" x14ac:dyDescent="0.3">
      <c r="H262" s="10"/>
    </row>
    <row r="263" spans="8:8" s="7" customFormat="1" x14ac:dyDescent="0.3">
      <c r="H263" s="10"/>
    </row>
    <row r="264" spans="8:8" s="7" customFormat="1" x14ac:dyDescent="0.3">
      <c r="H264" s="10"/>
    </row>
    <row r="265" spans="8:8" s="7" customFormat="1" x14ac:dyDescent="0.3">
      <c r="H265" s="10"/>
    </row>
    <row r="266" spans="8:8" s="7" customFormat="1" x14ac:dyDescent="0.3">
      <c r="H266" s="10"/>
    </row>
    <row r="267" spans="8:8" s="7" customFormat="1" x14ac:dyDescent="0.3">
      <c r="H267" s="10"/>
    </row>
    <row r="268" spans="8:8" s="7" customFormat="1" x14ac:dyDescent="0.3">
      <c r="H268" s="10"/>
    </row>
    <row r="269" spans="8:8" s="7" customFormat="1" x14ac:dyDescent="0.3">
      <c r="H269" s="10"/>
    </row>
    <row r="270" spans="8:8" s="7" customFormat="1" x14ac:dyDescent="0.3">
      <c r="H270" s="10"/>
    </row>
    <row r="271" spans="8:8" s="7" customFormat="1" x14ac:dyDescent="0.3">
      <c r="H271" s="10"/>
    </row>
    <row r="272" spans="8:8" s="7" customFormat="1" x14ac:dyDescent="0.3">
      <c r="H272" s="10"/>
    </row>
    <row r="273" spans="8:8" s="7" customFormat="1" x14ac:dyDescent="0.3">
      <c r="H273" s="10"/>
    </row>
    <row r="274" spans="8:8" s="7" customFormat="1" x14ac:dyDescent="0.3">
      <c r="H274" s="10"/>
    </row>
    <row r="275" spans="8:8" s="7" customFormat="1" x14ac:dyDescent="0.3">
      <c r="H275" s="10"/>
    </row>
    <row r="276" spans="8:8" s="7" customFormat="1" x14ac:dyDescent="0.3">
      <c r="H276" s="10"/>
    </row>
    <row r="277" spans="8:8" s="7" customFormat="1" x14ac:dyDescent="0.3">
      <c r="H277" s="10"/>
    </row>
    <row r="278" spans="8:8" s="7" customFormat="1" x14ac:dyDescent="0.3">
      <c r="H278" s="10"/>
    </row>
    <row r="279" spans="8:8" s="7" customFormat="1" x14ac:dyDescent="0.3">
      <c r="H279" s="10"/>
    </row>
    <row r="280" spans="8:8" s="7" customFormat="1" x14ac:dyDescent="0.3">
      <c r="H280" s="10"/>
    </row>
    <row r="281" spans="8:8" s="7" customFormat="1" x14ac:dyDescent="0.3">
      <c r="H281" s="10"/>
    </row>
    <row r="282" spans="8:8" s="7" customFormat="1" x14ac:dyDescent="0.3">
      <c r="H282" s="10"/>
    </row>
    <row r="283" spans="8:8" s="7" customFormat="1" x14ac:dyDescent="0.3">
      <c r="H283" s="10"/>
    </row>
    <row r="284" spans="8:8" s="7" customFormat="1" x14ac:dyDescent="0.3">
      <c r="H284" s="10"/>
    </row>
    <row r="285" spans="8:8" s="7" customFormat="1" x14ac:dyDescent="0.3">
      <c r="H285" s="10"/>
    </row>
    <row r="286" spans="8:8" s="7" customFormat="1" x14ac:dyDescent="0.3">
      <c r="H286" s="10"/>
    </row>
    <row r="287" spans="8:8" s="7" customFormat="1" x14ac:dyDescent="0.3">
      <c r="H287" s="10"/>
    </row>
    <row r="288" spans="8:8" s="7" customFormat="1" x14ac:dyDescent="0.3">
      <c r="H288" s="10"/>
    </row>
    <row r="289" spans="8:8" s="7" customFormat="1" x14ac:dyDescent="0.3">
      <c r="H289" s="10"/>
    </row>
    <row r="290" spans="8:8" s="7" customFormat="1" x14ac:dyDescent="0.3">
      <c r="H290" s="10"/>
    </row>
    <row r="291" spans="8:8" s="7" customFormat="1" x14ac:dyDescent="0.3">
      <c r="H291" s="10"/>
    </row>
    <row r="292" spans="8:8" s="7" customFormat="1" x14ac:dyDescent="0.3">
      <c r="H292" s="10"/>
    </row>
    <row r="293" spans="8:8" s="7" customFormat="1" x14ac:dyDescent="0.3">
      <c r="H293" s="10"/>
    </row>
    <row r="294" spans="8:8" s="7" customFormat="1" x14ac:dyDescent="0.3">
      <c r="H294" s="10"/>
    </row>
    <row r="295" spans="8:8" s="7" customFormat="1" x14ac:dyDescent="0.3">
      <c r="H295" s="10"/>
    </row>
    <row r="296" spans="8:8" s="7" customFormat="1" x14ac:dyDescent="0.3">
      <c r="H296" s="10"/>
    </row>
    <row r="297" spans="8:8" s="7" customFormat="1" x14ac:dyDescent="0.3">
      <c r="H297" s="10"/>
    </row>
    <row r="298" spans="8:8" s="7" customFormat="1" x14ac:dyDescent="0.3">
      <c r="H298" s="10"/>
    </row>
    <row r="299" spans="8:8" s="7" customFormat="1" x14ac:dyDescent="0.3">
      <c r="H299" s="10"/>
    </row>
    <row r="300" spans="8:8" s="7" customFormat="1" x14ac:dyDescent="0.3">
      <c r="H300" s="10"/>
    </row>
    <row r="301" spans="8:8" s="7" customFormat="1" x14ac:dyDescent="0.3">
      <c r="H301" s="10"/>
    </row>
    <row r="302" spans="8:8" s="7" customFormat="1" x14ac:dyDescent="0.3">
      <c r="H302" s="10"/>
    </row>
    <row r="303" spans="8:8" s="7" customFormat="1" x14ac:dyDescent="0.3">
      <c r="H303" s="10"/>
    </row>
    <row r="304" spans="8:8" s="7" customFormat="1" x14ac:dyDescent="0.3">
      <c r="H304" s="10"/>
    </row>
    <row r="305" spans="8:8" s="7" customFormat="1" x14ac:dyDescent="0.3">
      <c r="H305" s="10"/>
    </row>
    <row r="306" spans="8:8" s="7" customFormat="1" x14ac:dyDescent="0.3">
      <c r="H306" s="10"/>
    </row>
    <row r="307" spans="8:8" s="7" customFormat="1" x14ac:dyDescent="0.3">
      <c r="H307" s="10"/>
    </row>
    <row r="308" spans="8:8" s="7" customFormat="1" x14ac:dyDescent="0.3">
      <c r="H308" s="10"/>
    </row>
    <row r="309" spans="8:8" s="7" customFormat="1" x14ac:dyDescent="0.3">
      <c r="H309" s="10"/>
    </row>
    <row r="310" spans="8:8" s="7" customFormat="1" x14ac:dyDescent="0.3">
      <c r="H310" s="10"/>
    </row>
    <row r="311" spans="8:8" s="7" customFormat="1" x14ac:dyDescent="0.3">
      <c r="H311" s="10"/>
    </row>
    <row r="312" spans="8:8" s="7" customFormat="1" x14ac:dyDescent="0.3">
      <c r="H312" s="10"/>
    </row>
    <row r="313" spans="8:8" s="7" customFormat="1" x14ac:dyDescent="0.3">
      <c r="H313" s="10"/>
    </row>
    <row r="314" spans="8:8" s="7" customFormat="1" x14ac:dyDescent="0.3">
      <c r="H314" s="10"/>
    </row>
    <row r="315" spans="8:8" s="7" customFormat="1" x14ac:dyDescent="0.3">
      <c r="H315" s="10"/>
    </row>
    <row r="316" spans="8:8" s="7" customFormat="1" x14ac:dyDescent="0.3">
      <c r="H316" s="10"/>
    </row>
    <row r="317" spans="8:8" s="7" customFormat="1" x14ac:dyDescent="0.3">
      <c r="H317" s="10"/>
    </row>
    <row r="318" spans="8:8" s="7" customFormat="1" x14ac:dyDescent="0.3">
      <c r="H318" s="10"/>
    </row>
    <row r="319" spans="8:8" s="7" customFormat="1" x14ac:dyDescent="0.3">
      <c r="H319" s="10"/>
    </row>
    <row r="320" spans="8:8" s="7" customFormat="1" x14ac:dyDescent="0.3">
      <c r="H320" s="10"/>
    </row>
    <row r="321" spans="8:8" s="7" customFormat="1" x14ac:dyDescent="0.3">
      <c r="H321" s="10"/>
    </row>
    <row r="322" spans="8:8" s="7" customFormat="1" x14ac:dyDescent="0.3">
      <c r="H322" s="10"/>
    </row>
    <row r="323" spans="8:8" s="7" customFormat="1" x14ac:dyDescent="0.3">
      <c r="H323" s="10"/>
    </row>
    <row r="324" spans="8:8" s="7" customFormat="1" x14ac:dyDescent="0.3">
      <c r="H324" s="10"/>
    </row>
    <row r="325" spans="8:8" s="7" customFormat="1" x14ac:dyDescent="0.3">
      <c r="H325" s="10"/>
    </row>
    <row r="326" spans="8:8" s="7" customFormat="1" x14ac:dyDescent="0.3">
      <c r="H326" s="10"/>
    </row>
    <row r="327" spans="8:8" s="7" customFormat="1" x14ac:dyDescent="0.3">
      <c r="H327" s="10"/>
    </row>
    <row r="328" spans="8:8" s="7" customFormat="1" x14ac:dyDescent="0.3">
      <c r="H328" s="10"/>
    </row>
    <row r="329" spans="8:8" s="7" customFormat="1" x14ac:dyDescent="0.3">
      <c r="H329" s="10"/>
    </row>
    <row r="330" spans="8:8" s="7" customFormat="1" x14ac:dyDescent="0.3">
      <c r="H330" s="10"/>
    </row>
    <row r="331" spans="8:8" s="7" customFormat="1" x14ac:dyDescent="0.3">
      <c r="H331" s="10"/>
    </row>
    <row r="332" spans="8:8" s="7" customFormat="1" x14ac:dyDescent="0.3">
      <c r="H332" s="10"/>
    </row>
    <row r="333" spans="8:8" s="7" customFormat="1" x14ac:dyDescent="0.3">
      <c r="H333" s="10"/>
    </row>
    <row r="334" spans="8:8" s="7" customFormat="1" x14ac:dyDescent="0.3">
      <c r="H334" s="10"/>
    </row>
    <row r="335" spans="8:8" s="7" customFormat="1" x14ac:dyDescent="0.3">
      <c r="H335" s="10"/>
    </row>
    <row r="336" spans="8:8" s="7" customFormat="1" x14ac:dyDescent="0.3">
      <c r="H336" s="10"/>
    </row>
    <row r="337" spans="8:8" s="7" customFormat="1" x14ac:dyDescent="0.3">
      <c r="H337" s="10"/>
    </row>
    <row r="338" spans="8:8" s="7" customFormat="1" x14ac:dyDescent="0.3">
      <c r="H338" s="10"/>
    </row>
    <row r="339" spans="8:8" s="7" customFormat="1" x14ac:dyDescent="0.3">
      <c r="H339" s="10"/>
    </row>
    <row r="340" spans="8:8" s="7" customFormat="1" x14ac:dyDescent="0.3">
      <c r="H340" s="10"/>
    </row>
    <row r="341" spans="8:8" s="7" customFormat="1" x14ac:dyDescent="0.3">
      <c r="H341" s="10"/>
    </row>
    <row r="342" spans="8:8" s="7" customFormat="1" x14ac:dyDescent="0.3">
      <c r="H342" s="10"/>
    </row>
    <row r="343" spans="8:8" s="7" customFormat="1" x14ac:dyDescent="0.3">
      <c r="H343" s="10"/>
    </row>
    <row r="344" spans="8:8" s="7" customFormat="1" x14ac:dyDescent="0.3">
      <c r="H344" s="10"/>
    </row>
    <row r="345" spans="8:8" s="7" customFormat="1" x14ac:dyDescent="0.3">
      <c r="H345" s="10"/>
    </row>
    <row r="346" spans="8:8" s="7" customFormat="1" x14ac:dyDescent="0.3">
      <c r="H346" s="10"/>
    </row>
    <row r="347" spans="8:8" s="7" customFormat="1" x14ac:dyDescent="0.3">
      <c r="H347" s="10"/>
    </row>
    <row r="348" spans="8:8" s="7" customFormat="1" x14ac:dyDescent="0.3">
      <c r="H348" s="10"/>
    </row>
    <row r="349" spans="8:8" s="7" customFormat="1" x14ac:dyDescent="0.3">
      <c r="H349" s="10"/>
    </row>
    <row r="350" spans="8:8" s="7" customFormat="1" x14ac:dyDescent="0.3">
      <c r="H350" s="10"/>
    </row>
    <row r="351" spans="8:8" s="7" customFormat="1" x14ac:dyDescent="0.3">
      <c r="H351" s="10"/>
    </row>
    <row r="352" spans="8:8" s="7" customFormat="1" x14ac:dyDescent="0.3">
      <c r="H352" s="10"/>
    </row>
    <row r="353" spans="8:8" s="7" customFormat="1" x14ac:dyDescent="0.3">
      <c r="H353" s="10"/>
    </row>
    <row r="354" spans="8:8" s="7" customFormat="1" x14ac:dyDescent="0.3">
      <c r="H354" s="10"/>
    </row>
    <row r="355" spans="8:8" s="7" customFormat="1" x14ac:dyDescent="0.3">
      <c r="H355" s="10"/>
    </row>
    <row r="356" spans="8:8" s="7" customFormat="1" x14ac:dyDescent="0.3">
      <c r="H356" s="10"/>
    </row>
    <row r="357" spans="8:8" s="7" customFormat="1" x14ac:dyDescent="0.3">
      <c r="H357" s="10"/>
    </row>
    <row r="358" spans="8:8" s="7" customFormat="1" x14ac:dyDescent="0.3">
      <c r="H358" s="10"/>
    </row>
    <row r="359" spans="8:8" s="7" customFormat="1" x14ac:dyDescent="0.3">
      <c r="H359" s="10"/>
    </row>
    <row r="360" spans="8:8" s="7" customFormat="1" x14ac:dyDescent="0.3">
      <c r="H360" s="10"/>
    </row>
    <row r="361" spans="8:8" s="7" customFormat="1" x14ac:dyDescent="0.3">
      <c r="H361" s="10"/>
    </row>
    <row r="362" spans="8:8" s="7" customFormat="1" x14ac:dyDescent="0.3">
      <c r="H362" s="10"/>
    </row>
    <row r="363" spans="8:8" s="7" customFormat="1" x14ac:dyDescent="0.3">
      <c r="H363" s="10"/>
    </row>
    <row r="364" spans="8:8" s="7" customFormat="1" x14ac:dyDescent="0.3">
      <c r="H364" s="10"/>
    </row>
    <row r="365" spans="8:8" s="7" customFormat="1" x14ac:dyDescent="0.3">
      <c r="H365" s="10"/>
    </row>
    <row r="366" spans="8:8" s="7" customFormat="1" x14ac:dyDescent="0.3">
      <c r="H366" s="10"/>
    </row>
    <row r="367" spans="8:8" s="7" customFormat="1" x14ac:dyDescent="0.3">
      <c r="H367" s="10"/>
    </row>
    <row r="368" spans="8:8" s="7" customFormat="1" x14ac:dyDescent="0.3">
      <c r="H368" s="10"/>
    </row>
    <row r="369" spans="8:8" s="7" customFormat="1" x14ac:dyDescent="0.3">
      <c r="H369" s="10"/>
    </row>
    <row r="370" spans="8:8" s="7" customFormat="1" x14ac:dyDescent="0.3">
      <c r="H370" s="10"/>
    </row>
    <row r="371" spans="8:8" s="7" customFormat="1" x14ac:dyDescent="0.3">
      <c r="H371" s="10"/>
    </row>
    <row r="372" spans="8:8" s="7" customFormat="1" x14ac:dyDescent="0.3">
      <c r="H372" s="10"/>
    </row>
    <row r="373" spans="8:8" s="7" customFormat="1" x14ac:dyDescent="0.3">
      <c r="H373" s="10"/>
    </row>
    <row r="374" spans="8:8" s="7" customFormat="1" x14ac:dyDescent="0.3">
      <c r="H374" s="10"/>
    </row>
    <row r="375" spans="8:8" s="7" customFormat="1" x14ac:dyDescent="0.3">
      <c r="H375" s="10"/>
    </row>
    <row r="376" spans="8:8" s="7" customFormat="1" x14ac:dyDescent="0.3">
      <c r="H376" s="10"/>
    </row>
    <row r="377" spans="8:8" s="7" customFormat="1" x14ac:dyDescent="0.3">
      <c r="H377" s="10"/>
    </row>
    <row r="378" spans="8:8" s="7" customFormat="1" x14ac:dyDescent="0.3">
      <c r="H378" s="10"/>
    </row>
    <row r="379" spans="8:8" s="7" customFormat="1" x14ac:dyDescent="0.3">
      <c r="H379" s="10"/>
    </row>
    <row r="380" spans="8:8" s="7" customFormat="1" x14ac:dyDescent="0.3">
      <c r="H380" s="10"/>
    </row>
    <row r="381" spans="8:8" s="7" customFormat="1" x14ac:dyDescent="0.3">
      <c r="H381" s="10"/>
    </row>
    <row r="382" spans="8:8" s="7" customFormat="1" x14ac:dyDescent="0.3">
      <c r="H382" s="10"/>
    </row>
    <row r="383" spans="8:8" s="7" customFormat="1" x14ac:dyDescent="0.3">
      <c r="H383" s="10"/>
    </row>
    <row r="384" spans="8:8" s="7" customFormat="1" x14ac:dyDescent="0.3">
      <c r="H384" s="10"/>
    </row>
    <row r="385" spans="8:8" s="7" customFormat="1" x14ac:dyDescent="0.3">
      <c r="H385" s="10"/>
    </row>
    <row r="386" spans="8:8" s="7" customFormat="1" x14ac:dyDescent="0.3">
      <c r="H386" s="10"/>
    </row>
    <row r="387" spans="8:8" s="7" customFormat="1" x14ac:dyDescent="0.3">
      <c r="H387" s="10"/>
    </row>
    <row r="388" spans="8:8" s="7" customFormat="1" x14ac:dyDescent="0.3">
      <c r="H388" s="10"/>
    </row>
    <row r="389" spans="8:8" s="7" customFormat="1" x14ac:dyDescent="0.3">
      <c r="H389" s="10"/>
    </row>
    <row r="390" spans="8:8" s="7" customFormat="1" x14ac:dyDescent="0.3">
      <c r="H390" s="10"/>
    </row>
    <row r="391" spans="8:8" s="7" customFormat="1" x14ac:dyDescent="0.3">
      <c r="H391" s="10"/>
    </row>
    <row r="392" spans="8:8" s="7" customFormat="1" x14ac:dyDescent="0.3">
      <c r="H392" s="10"/>
    </row>
    <row r="393" spans="8:8" s="7" customFormat="1" x14ac:dyDescent="0.3">
      <c r="H393" s="10"/>
    </row>
    <row r="394" spans="8:8" s="7" customFormat="1" x14ac:dyDescent="0.3">
      <c r="H394" s="10"/>
    </row>
    <row r="395" spans="8:8" s="7" customFormat="1" x14ac:dyDescent="0.3">
      <c r="H395" s="10"/>
    </row>
    <row r="396" spans="8:8" s="7" customFormat="1" x14ac:dyDescent="0.3">
      <c r="H396" s="10"/>
    </row>
    <row r="397" spans="8:8" s="7" customFormat="1" x14ac:dyDescent="0.3">
      <c r="H397" s="10"/>
    </row>
    <row r="398" spans="8:8" s="7" customFormat="1" x14ac:dyDescent="0.3">
      <c r="H398" s="10"/>
    </row>
    <row r="399" spans="8:8" s="7" customFormat="1" x14ac:dyDescent="0.3">
      <c r="H399" s="10"/>
    </row>
    <row r="400" spans="8:8" s="7" customFormat="1" x14ac:dyDescent="0.3">
      <c r="H400" s="10"/>
    </row>
    <row r="401" spans="8:8" s="7" customFormat="1" x14ac:dyDescent="0.3">
      <c r="H401" s="10"/>
    </row>
    <row r="402" spans="8:8" s="7" customFormat="1" x14ac:dyDescent="0.3">
      <c r="H402" s="10"/>
    </row>
    <row r="403" spans="8:8" s="7" customFormat="1" x14ac:dyDescent="0.3">
      <c r="H403" s="10"/>
    </row>
    <row r="404" spans="8:8" s="7" customFormat="1" x14ac:dyDescent="0.3">
      <c r="H404" s="10"/>
    </row>
    <row r="405" spans="8:8" s="7" customFormat="1" x14ac:dyDescent="0.3">
      <c r="H405" s="10"/>
    </row>
    <row r="406" spans="8:8" s="7" customFormat="1" x14ac:dyDescent="0.3">
      <c r="H406" s="10"/>
    </row>
    <row r="407" spans="8:8" s="7" customFormat="1" x14ac:dyDescent="0.3">
      <c r="H407" s="10"/>
    </row>
    <row r="408" spans="8:8" s="7" customFormat="1" x14ac:dyDescent="0.3">
      <c r="H408" s="10"/>
    </row>
    <row r="409" spans="8:8" s="7" customFormat="1" x14ac:dyDescent="0.3">
      <c r="H409" s="10"/>
    </row>
    <row r="410" spans="8:8" s="7" customFormat="1" x14ac:dyDescent="0.3">
      <c r="H410" s="10"/>
    </row>
    <row r="411" spans="8:8" s="7" customFormat="1" x14ac:dyDescent="0.3">
      <c r="H411" s="10"/>
    </row>
    <row r="412" spans="8:8" s="7" customFormat="1" x14ac:dyDescent="0.3">
      <c r="H412" s="10"/>
    </row>
    <row r="413" spans="8:8" s="7" customFormat="1" x14ac:dyDescent="0.3">
      <c r="H413" s="10"/>
    </row>
    <row r="414" spans="8:8" s="7" customFormat="1" x14ac:dyDescent="0.3">
      <c r="H414" s="10"/>
    </row>
    <row r="415" spans="8:8" s="7" customFormat="1" x14ac:dyDescent="0.3">
      <c r="H415" s="10"/>
    </row>
    <row r="416" spans="8:8" s="7" customFormat="1" x14ac:dyDescent="0.3">
      <c r="H416" s="10"/>
    </row>
    <row r="417" spans="8:8" s="7" customFormat="1" x14ac:dyDescent="0.3">
      <c r="H417" s="10"/>
    </row>
    <row r="418" spans="8:8" s="7" customFormat="1" x14ac:dyDescent="0.3">
      <c r="H418" s="10"/>
    </row>
    <row r="419" spans="8:8" s="7" customFormat="1" x14ac:dyDescent="0.3">
      <c r="H419" s="10"/>
    </row>
    <row r="420" spans="8:8" s="7" customFormat="1" x14ac:dyDescent="0.3">
      <c r="H420" s="10"/>
    </row>
    <row r="421" spans="8:8" s="7" customFormat="1" x14ac:dyDescent="0.3">
      <c r="H421" s="10"/>
    </row>
    <row r="422" spans="8:8" s="7" customFormat="1" x14ac:dyDescent="0.3">
      <c r="H422" s="10"/>
    </row>
    <row r="423" spans="8:8" s="7" customFormat="1" x14ac:dyDescent="0.3">
      <c r="H423" s="10"/>
    </row>
    <row r="424" spans="8:8" s="7" customFormat="1" x14ac:dyDescent="0.3">
      <c r="H424" s="10"/>
    </row>
    <row r="425" spans="8:8" s="7" customFormat="1" x14ac:dyDescent="0.3">
      <c r="H425" s="10"/>
    </row>
    <row r="426" spans="8:8" s="7" customFormat="1" x14ac:dyDescent="0.3">
      <c r="H426" s="10"/>
    </row>
    <row r="427" spans="8:8" s="7" customFormat="1" x14ac:dyDescent="0.3">
      <c r="H427" s="10"/>
    </row>
    <row r="428" spans="8:8" s="7" customFormat="1" x14ac:dyDescent="0.3">
      <c r="H428" s="10"/>
    </row>
    <row r="429" spans="8:8" s="7" customFormat="1" x14ac:dyDescent="0.3">
      <c r="H429" s="10"/>
    </row>
    <row r="430" spans="8:8" s="7" customFormat="1" x14ac:dyDescent="0.3">
      <c r="H430" s="10"/>
    </row>
    <row r="431" spans="8:8" s="7" customFormat="1" x14ac:dyDescent="0.3">
      <c r="H431" s="10"/>
    </row>
    <row r="432" spans="8:8" s="7" customFormat="1" x14ac:dyDescent="0.3">
      <c r="H432" s="10"/>
    </row>
    <row r="433" spans="8:8" s="7" customFormat="1" x14ac:dyDescent="0.3">
      <c r="H433" s="10"/>
    </row>
    <row r="434" spans="8:8" s="7" customFormat="1" x14ac:dyDescent="0.3">
      <c r="H434" s="10"/>
    </row>
    <row r="435" spans="8:8" s="7" customFormat="1" x14ac:dyDescent="0.3">
      <c r="H435" s="10"/>
    </row>
    <row r="436" spans="8:8" s="7" customFormat="1" x14ac:dyDescent="0.3">
      <c r="H436" s="10"/>
    </row>
    <row r="437" spans="8:8" s="7" customFormat="1" x14ac:dyDescent="0.3">
      <c r="H437" s="10"/>
    </row>
    <row r="438" spans="8:8" s="7" customFormat="1" x14ac:dyDescent="0.3">
      <c r="H438" s="10"/>
    </row>
    <row r="439" spans="8:8" s="7" customFormat="1" x14ac:dyDescent="0.3">
      <c r="H439" s="10"/>
    </row>
    <row r="440" spans="8:8" s="7" customFormat="1" x14ac:dyDescent="0.3">
      <c r="H440" s="10"/>
    </row>
    <row r="441" spans="8:8" s="7" customFormat="1" x14ac:dyDescent="0.3">
      <c r="H441" s="10"/>
    </row>
    <row r="442" spans="8:8" s="7" customFormat="1" x14ac:dyDescent="0.3">
      <c r="H442" s="10"/>
    </row>
    <row r="443" spans="8:8" s="7" customFormat="1" x14ac:dyDescent="0.3">
      <c r="H443" s="10"/>
    </row>
    <row r="444" spans="8:8" s="7" customFormat="1" x14ac:dyDescent="0.3">
      <c r="H444" s="10"/>
    </row>
    <row r="445" spans="8:8" s="7" customFormat="1" x14ac:dyDescent="0.3">
      <c r="H445" s="10"/>
    </row>
    <row r="446" spans="8:8" s="7" customFormat="1" x14ac:dyDescent="0.3">
      <c r="H446" s="10"/>
    </row>
    <row r="447" spans="8:8" s="7" customFormat="1" x14ac:dyDescent="0.3">
      <c r="H447" s="10"/>
    </row>
    <row r="448" spans="8:8" s="7" customFormat="1" x14ac:dyDescent="0.3">
      <c r="H448" s="10"/>
    </row>
    <row r="449" spans="8:8" s="7" customFormat="1" x14ac:dyDescent="0.3">
      <c r="H449" s="10"/>
    </row>
    <row r="450" spans="8:8" s="7" customFormat="1" x14ac:dyDescent="0.3">
      <c r="H450" s="10"/>
    </row>
    <row r="451" spans="8:8" s="7" customFormat="1" x14ac:dyDescent="0.3">
      <c r="H451" s="10"/>
    </row>
    <row r="452" spans="8:8" s="7" customFormat="1" x14ac:dyDescent="0.3">
      <c r="H452" s="10"/>
    </row>
    <row r="453" spans="8:8" s="7" customFormat="1" x14ac:dyDescent="0.3">
      <c r="H453" s="10"/>
    </row>
    <row r="454" spans="8:8" s="7" customFormat="1" x14ac:dyDescent="0.3">
      <c r="H454" s="10"/>
    </row>
    <row r="455" spans="8:8" s="7" customFormat="1" x14ac:dyDescent="0.3">
      <c r="H455" s="10"/>
    </row>
    <row r="456" spans="8:8" s="7" customFormat="1" x14ac:dyDescent="0.3">
      <c r="H456" s="10"/>
    </row>
    <row r="457" spans="8:8" s="7" customFormat="1" x14ac:dyDescent="0.3">
      <c r="H457" s="10"/>
    </row>
    <row r="458" spans="8:8" s="7" customFormat="1" x14ac:dyDescent="0.3">
      <c r="H458" s="10"/>
    </row>
    <row r="459" spans="8:8" s="7" customFormat="1" x14ac:dyDescent="0.3">
      <c r="H459" s="10"/>
    </row>
    <row r="460" spans="8:8" s="7" customFormat="1" x14ac:dyDescent="0.3">
      <c r="H460" s="10"/>
    </row>
    <row r="461" spans="8:8" s="7" customFormat="1" x14ac:dyDescent="0.3">
      <c r="H461" s="10"/>
    </row>
    <row r="462" spans="8:8" s="7" customFormat="1" x14ac:dyDescent="0.3">
      <c r="H462" s="10"/>
    </row>
    <row r="463" spans="8:8" s="7" customFormat="1" x14ac:dyDescent="0.3">
      <c r="H463" s="10"/>
    </row>
    <row r="464" spans="8:8" s="7" customFormat="1" x14ac:dyDescent="0.3">
      <c r="H464" s="10"/>
    </row>
    <row r="465" spans="8:8" s="7" customFormat="1" x14ac:dyDescent="0.3">
      <c r="H465" s="10"/>
    </row>
    <row r="466" spans="8:8" s="7" customFormat="1" x14ac:dyDescent="0.3">
      <c r="H466" s="10"/>
    </row>
    <row r="467" spans="8:8" s="7" customFormat="1" x14ac:dyDescent="0.3">
      <c r="H467" s="10"/>
    </row>
    <row r="468" spans="8:8" s="7" customFormat="1" x14ac:dyDescent="0.3">
      <c r="H468" s="10"/>
    </row>
    <row r="469" spans="8:8" s="7" customFormat="1" x14ac:dyDescent="0.3">
      <c r="H469" s="10"/>
    </row>
    <row r="470" spans="8:8" s="7" customFormat="1" x14ac:dyDescent="0.3">
      <c r="H470" s="10"/>
    </row>
    <row r="471" spans="8:8" s="7" customFormat="1" x14ac:dyDescent="0.3">
      <c r="H471" s="10"/>
    </row>
    <row r="472" spans="8:8" s="7" customFormat="1" x14ac:dyDescent="0.3">
      <c r="H472" s="10"/>
    </row>
    <row r="473" spans="8:8" s="7" customFormat="1" x14ac:dyDescent="0.3">
      <c r="H473" s="10"/>
    </row>
    <row r="474" spans="8:8" s="7" customFormat="1" x14ac:dyDescent="0.3">
      <c r="H474" s="10"/>
    </row>
    <row r="475" spans="8:8" s="7" customFormat="1" x14ac:dyDescent="0.3">
      <c r="H475" s="10"/>
    </row>
    <row r="476" spans="8:8" s="7" customFormat="1" x14ac:dyDescent="0.3">
      <c r="H476" s="10"/>
    </row>
    <row r="477" spans="8:8" s="7" customFormat="1" x14ac:dyDescent="0.3">
      <c r="H477" s="10"/>
    </row>
    <row r="478" spans="8:8" s="7" customFormat="1" x14ac:dyDescent="0.3">
      <c r="H478" s="10"/>
    </row>
    <row r="479" spans="8:8" s="7" customFormat="1" x14ac:dyDescent="0.3">
      <c r="H479" s="10"/>
    </row>
    <row r="480" spans="8:8" s="7" customFormat="1" x14ac:dyDescent="0.3">
      <c r="H480" s="10"/>
    </row>
    <row r="481" spans="8:8" s="7" customFormat="1" x14ac:dyDescent="0.3">
      <c r="H481" s="10"/>
    </row>
    <row r="482" spans="8:8" s="7" customFormat="1" x14ac:dyDescent="0.3">
      <c r="H482" s="10"/>
    </row>
    <row r="483" spans="8:8" s="7" customFormat="1" x14ac:dyDescent="0.3">
      <c r="H483" s="10"/>
    </row>
    <row r="484" spans="8:8" s="7" customFormat="1" x14ac:dyDescent="0.3">
      <c r="H484" s="10"/>
    </row>
    <row r="485" spans="8:8" s="7" customFormat="1" x14ac:dyDescent="0.3">
      <c r="H485" s="10"/>
    </row>
    <row r="486" spans="8:8" s="7" customFormat="1" x14ac:dyDescent="0.3">
      <c r="H486" s="10"/>
    </row>
    <row r="487" spans="8:8" s="7" customFormat="1" x14ac:dyDescent="0.3">
      <c r="H487" s="10"/>
    </row>
    <row r="488" spans="8:8" s="7" customFormat="1" x14ac:dyDescent="0.3">
      <c r="H488" s="10"/>
    </row>
    <row r="489" spans="8:8" s="7" customFormat="1" x14ac:dyDescent="0.3">
      <c r="H489" s="10"/>
    </row>
    <row r="490" spans="8:8" s="7" customFormat="1" x14ac:dyDescent="0.3">
      <c r="H490" s="10"/>
    </row>
    <row r="491" spans="8:8" s="7" customFormat="1" x14ac:dyDescent="0.3">
      <c r="H491" s="10"/>
    </row>
    <row r="492" spans="8:8" s="7" customFormat="1" x14ac:dyDescent="0.3">
      <c r="H492" s="10"/>
    </row>
    <row r="493" spans="8:8" s="7" customFormat="1" x14ac:dyDescent="0.3">
      <c r="H493" s="10"/>
    </row>
    <row r="494" spans="8:8" s="7" customFormat="1" x14ac:dyDescent="0.3">
      <c r="H494" s="10"/>
    </row>
    <row r="495" spans="8:8" s="7" customFormat="1" x14ac:dyDescent="0.3">
      <c r="H495" s="10"/>
    </row>
    <row r="496" spans="8:8" s="7" customFormat="1" x14ac:dyDescent="0.3">
      <c r="H496" s="10"/>
    </row>
    <row r="497" spans="8:8" s="7" customFormat="1" x14ac:dyDescent="0.3">
      <c r="H497" s="10"/>
    </row>
    <row r="498" spans="8:8" s="7" customFormat="1" x14ac:dyDescent="0.3">
      <c r="H498" s="10"/>
    </row>
    <row r="499" spans="8:8" s="7" customFormat="1" x14ac:dyDescent="0.3">
      <c r="H499" s="10"/>
    </row>
    <row r="500" spans="8:8" s="7" customFormat="1" x14ac:dyDescent="0.3">
      <c r="H500" s="10"/>
    </row>
    <row r="501" spans="8:8" s="7" customFormat="1" x14ac:dyDescent="0.3">
      <c r="H501" s="10"/>
    </row>
    <row r="502" spans="8:8" s="7" customFormat="1" x14ac:dyDescent="0.3">
      <c r="H502" s="10"/>
    </row>
    <row r="503" spans="8:8" s="7" customFormat="1" x14ac:dyDescent="0.3">
      <c r="H503" s="10"/>
    </row>
    <row r="504" spans="8:8" s="7" customFormat="1" x14ac:dyDescent="0.3">
      <c r="H504" s="10"/>
    </row>
    <row r="505" spans="8:8" s="7" customFormat="1" x14ac:dyDescent="0.3">
      <c r="H505" s="10"/>
    </row>
    <row r="506" spans="8:8" s="7" customFormat="1" x14ac:dyDescent="0.3">
      <c r="H506" s="10"/>
    </row>
    <row r="507" spans="8:8" s="7" customFormat="1" x14ac:dyDescent="0.3">
      <c r="H507" s="10"/>
    </row>
    <row r="508" spans="8:8" s="7" customFormat="1" x14ac:dyDescent="0.3">
      <c r="H508" s="10"/>
    </row>
    <row r="509" spans="8:8" s="7" customFormat="1" x14ac:dyDescent="0.3">
      <c r="H509" s="10"/>
    </row>
    <row r="510" spans="8:8" s="7" customFormat="1" x14ac:dyDescent="0.3">
      <c r="H510" s="10"/>
    </row>
    <row r="511" spans="8:8" s="7" customFormat="1" x14ac:dyDescent="0.3">
      <c r="H511" s="10"/>
    </row>
    <row r="512" spans="8:8" s="7" customFormat="1" x14ac:dyDescent="0.3">
      <c r="H512" s="10"/>
    </row>
    <row r="513" spans="8:8" s="7" customFormat="1" x14ac:dyDescent="0.3">
      <c r="H513" s="10"/>
    </row>
    <row r="514" spans="8:8" s="7" customFormat="1" x14ac:dyDescent="0.3">
      <c r="H514" s="10"/>
    </row>
    <row r="515" spans="8:8" s="7" customFormat="1" x14ac:dyDescent="0.3">
      <c r="H515" s="10"/>
    </row>
    <row r="516" spans="8:8" s="7" customFormat="1" x14ac:dyDescent="0.3">
      <c r="H516" s="10"/>
    </row>
    <row r="517" spans="8:8" s="7" customFormat="1" x14ac:dyDescent="0.3">
      <c r="H517" s="10"/>
    </row>
    <row r="518" spans="8:8" s="7" customFormat="1" x14ac:dyDescent="0.3">
      <c r="H518" s="10"/>
    </row>
    <row r="519" spans="8:8" s="7" customFormat="1" x14ac:dyDescent="0.3">
      <c r="H519" s="10"/>
    </row>
    <row r="520" spans="8:8" s="7" customFormat="1" x14ac:dyDescent="0.3">
      <c r="H520" s="10"/>
    </row>
    <row r="521" spans="8:8" s="7" customFormat="1" x14ac:dyDescent="0.3">
      <c r="H521" s="10"/>
    </row>
    <row r="522" spans="8:8" s="7" customFormat="1" x14ac:dyDescent="0.3">
      <c r="H522" s="10"/>
    </row>
    <row r="523" spans="8:8" s="7" customFormat="1" x14ac:dyDescent="0.3">
      <c r="H523" s="10"/>
    </row>
    <row r="524" spans="8:8" s="7" customFormat="1" x14ac:dyDescent="0.3">
      <c r="H524" s="10"/>
    </row>
    <row r="525" spans="8:8" s="7" customFormat="1" x14ac:dyDescent="0.3">
      <c r="H525" s="10"/>
    </row>
    <row r="526" spans="8:8" s="7" customFormat="1" x14ac:dyDescent="0.3">
      <c r="H526" s="10"/>
    </row>
    <row r="527" spans="8:8" s="7" customFormat="1" x14ac:dyDescent="0.3">
      <c r="H527" s="10"/>
    </row>
    <row r="528" spans="8:8" s="7" customFormat="1" x14ac:dyDescent="0.3">
      <c r="H528" s="10"/>
    </row>
    <row r="529" spans="8:8" s="7" customFormat="1" x14ac:dyDescent="0.3">
      <c r="H529" s="10"/>
    </row>
    <row r="530" spans="8:8" s="7" customFormat="1" x14ac:dyDescent="0.3">
      <c r="H530" s="10"/>
    </row>
    <row r="531" spans="8:8" s="7" customFormat="1" x14ac:dyDescent="0.3">
      <c r="H531" s="10"/>
    </row>
    <row r="532" spans="8:8" s="7" customFormat="1" x14ac:dyDescent="0.3">
      <c r="H532" s="10"/>
    </row>
    <row r="533" spans="8:8" s="7" customFormat="1" x14ac:dyDescent="0.3">
      <c r="H533" s="10"/>
    </row>
    <row r="534" spans="8:8" s="7" customFormat="1" x14ac:dyDescent="0.3">
      <c r="H534" s="10"/>
    </row>
    <row r="535" spans="8:8" s="7" customFormat="1" x14ac:dyDescent="0.3">
      <c r="H535" s="10"/>
    </row>
    <row r="536" spans="8:8" s="7" customFormat="1" x14ac:dyDescent="0.3">
      <c r="H536" s="10"/>
    </row>
    <row r="537" spans="8:8" s="7" customFormat="1" x14ac:dyDescent="0.3">
      <c r="H537" s="10"/>
    </row>
    <row r="538" spans="8:8" s="7" customFormat="1" x14ac:dyDescent="0.3">
      <c r="H538" s="10"/>
    </row>
    <row r="539" spans="8:8" s="7" customFormat="1" x14ac:dyDescent="0.3">
      <c r="H539" s="10"/>
    </row>
    <row r="540" spans="8:8" s="7" customFormat="1" x14ac:dyDescent="0.3">
      <c r="H540" s="10"/>
    </row>
    <row r="541" spans="8:8" s="7" customFormat="1" x14ac:dyDescent="0.3">
      <c r="H541" s="10"/>
    </row>
    <row r="542" spans="8:8" s="7" customFormat="1" x14ac:dyDescent="0.3">
      <c r="H542" s="10"/>
    </row>
    <row r="543" spans="8:8" s="7" customFormat="1" x14ac:dyDescent="0.3">
      <c r="H543" s="10"/>
    </row>
    <row r="544" spans="8:8" s="7" customFormat="1" x14ac:dyDescent="0.3">
      <c r="H544" s="10"/>
    </row>
    <row r="545" spans="8:8" s="7" customFormat="1" x14ac:dyDescent="0.3">
      <c r="H545" s="10"/>
    </row>
    <row r="546" spans="8:8" s="7" customFormat="1" x14ac:dyDescent="0.3">
      <c r="H546" s="10"/>
    </row>
    <row r="547" spans="8:8" s="7" customFormat="1" x14ac:dyDescent="0.3">
      <c r="H547" s="10"/>
    </row>
    <row r="548" spans="8:8" s="7" customFormat="1" x14ac:dyDescent="0.3">
      <c r="H548" s="10"/>
    </row>
    <row r="549" spans="8:8" s="7" customFormat="1" x14ac:dyDescent="0.3">
      <c r="H549" s="10"/>
    </row>
    <row r="550" spans="8:8" s="7" customFormat="1" x14ac:dyDescent="0.3">
      <c r="H550" s="10"/>
    </row>
    <row r="551" spans="8:8" s="7" customFormat="1" x14ac:dyDescent="0.3">
      <c r="H551" s="10"/>
    </row>
    <row r="552" spans="8:8" s="7" customFormat="1" x14ac:dyDescent="0.3">
      <c r="H552" s="10"/>
    </row>
    <row r="553" spans="8:8" s="7" customFormat="1" x14ac:dyDescent="0.3">
      <c r="H553" s="10"/>
    </row>
    <row r="554" spans="8:8" s="7" customFormat="1" x14ac:dyDescent="0.3">
      <c r="H554" s="10"/>
    </row>
    <row r="555" spans="8:8" s="7" customFormat="1" x14ac:dyDescent="0.3">
      <c r="H555" s="10"/>
    </row>
    <row r="556" spans="8:8" s="7" customFormat="1" x14ac:dyDescent="0.3">
      <c r="H556" s="10"/>
    </row>
    <row r="557" spans="8:8" s="7" customFormat="1" x14ac:dyDescent="0.3">
      <c r="H557" s="10"/>
    </row>
    <row r="558" spans="8:8" s="7" customFormat="1" x14ac:dyDescent="0.3">
      <c r="H558" s="10"/>
    </row>
    <row r="559" spans="8:8" s="7" customFormat="1" x14ac:dyDescent="0.3">
      <c r="H559" s="10"/>
    </row>
    <row r="560" spans="8:8" s="7" customFormat="1" x14ac:dyDescent="0.3">
      <c r="H560" s="10"/>
    </row>
    <row r="561" spans="8:8" s="7" customFormat="1" x14ac:dyDescent="0.3">
      <c r="H561" s="10"/>
    </row>
    <row r="562" spans="8:8" s="7" customFormat="1" x14ac:dyDescent="0.3">
      <c r="H562" s="10"/>
    </row>
    <row r="563" spans="8:8" s="7" customFormat="1" x14ac:dyDescent="0.3">
      <c r="H563" s="10"/>
    </row>
    <row r="564" spans="8:8" s="7" customFormat="1" x14ac:dyDescent="0.3">
      <c r="H564" s="10"/>
    </row>
    <row r="565" spans="8:8" s="7" customFormat="1" x14ac:dyDescent="0.3">
      <c r="H565" s="10"/>
    </row>
    <row r="566" spans="8:8" s="7" customFormat="1" x14ac:dyDescent="0.3">
      <c r="H566" s="10"/>
    </row>
    <row r="567" spans="8:8" s="7" customFormat="1" x14ac:dyDescent="0.3">
      <c r="H567" s="10"/>
    </row>
    <row r="568" spans="8:8" s="7" customFormat="1" x14ac:dyDescent="0.3">
      <c r="H568" s="10"/>
    </row>
    <row r="569" spans="8:8" s="7" customFormat="1" x14ac:dyDescent="0.3">
      <c r="H569" s="10"/>
    </row>
    <row r="570" spans="8:8" s="7" customFormat="1" x14ac:dyDescent="0.3">
      <c r="H570" s="10"/>
    </row>
    <row r="571" spans="8:8" s="7" customFormat="1" x14ac:dyDescent="0.3">
      <c r="H571" s="10"/>
    </row>
    <row r="572" spans="8:8" s="7" customFormat="1" x14ac:dyDescent="0.3">
      <c r="H572" s="10"/>
    </row>
    <row r="573" spans="8:8" s="7" customFormat="1" x14ac:dyDescent="0.3">
      <c r="H573" s="10"/>
    </row>
    <row r="574" spans="8:8" s="7" customFormat="1" x14ac:dyDescent="0.3">
      <c r="H574" s="10"/>
    </row>
    <row r="575" spans="8:8" s="7" customFormat="1" x14ac:dyDescent="0.3">
      <c r="H575" s="10"/>
    </row>
    <row r="576" spans="8:8" s="7" customFormat="1" x14ac:dyDescent="0.3">
      <c r="H576" s="10"/>
    </row>
    <row r="577" spans="8:8" s="7" customFormat="1" x14ac:dyDescent="0.3">
      <c r="H577" s="10"/>
    </row>
    <row r="578" spans="8:8" s="7" customFormat="1" x14ac:dyDescent="0.3">
      <c r="H578" s="10"/>
    </row>
    <row r="579" spans="8:8" s="7" customFormat="1" x14ac:dyDescent="0.3">
      <c r="H579" s="10"/>
    </row>
    <row r="580" spans="8:8" s="7" customFormat="1" x14ac:dyDescent="0.3">
      <c r="H580" s="10"/>
    </row>
    <row r="581" spans="8:8" s="7" customFormat="1" x14ac:dyDescent="0.3">
      <c r="H581" s="10"/>
    </row>
    <row r="582" spans="8:8" s="7" customFormat="1" x14ac:dyDescent="0.3">
      <c r="H582" s="10"/>
    </row>
    <row r="583" spans="8:8" s="7" customFormat="1" x14ac:dyDescent="0.3">
      <c r="H583" s="10"/>
    </row>
    <row r="584" spans="8:8" s="7" customFormat="1" x14ac:dyDescent="0.3">
      <c r="H584" s="10"/>
    </row>
    <row r="585" spans="8:8" s="7" customFormat="1" x14ac:dyDescent="0.3">
      <c r="H585" s="10"/>
    </row>
    <row r="586" spans="8:8" s="7" customFormat="1" x14ac:dyDescent="0.3">
      <c r="H586" s="10"/>
    </row>
    <row r="587" spans="8:8" s="7" customFormat="1" x14ac:dyDescent="0.3">
      <c r="H587" s="10"/>
    </row>
    <row r="588" spans="8:8" s="7" customFormat="1" x14ac:dyDescent="0.3">
      <c r="H588" s="10"/>
    </row>
    <row r="589" spans="8:8" s="7" customFormat="1" x14ac:dyDescent="0.3">
      <c r="H589" s="10"/>
    </row>
    <row r="590" spans="8:8" s="7" customFormat="1" x14ac:dyDescent="0.3">
      <c r="H590" s="10"/>
    </row>
    <row r="591" spans="8:8" s="7" customFormat="1" x14ac:dyDescent="0.3">
      <c r="H591" s="10"/>
    </row>
    <row r="592" spans="8:8" s="7" customFormat="1" x14ac:dyDescent="0.3">
      <c r="H592" s="10"/>
    </row>
    <row r="593" spans="8:8" s="7" customFormat="1" x14ac:dyDescent="0.3">
      <c r="H593" s="10"/>
    </row>
    <row r="594" spans="8:8" s="7" customFormat="1" x14ac:dyDescent="0.3">
      <c r="H594" s="10"/>
    </row>
    <row r="595" spans="8:8" s="7" customFormat="1" x14ac:dyDescent="0.3">
      <c r="H595" s="10"/>
    </row>
    <row r="596" spans="8:8" s="7" customFormat="1" x14ac:dyDescent="0.3">
      <c r="H596" s="10"/>
    </row>
  </sheetData>
  <mergeCells count="4">
    <mergeCell ref="C1:G1"/>
    <mergeCell ref="C2:G2"/>
    <mergeCell ref="E4:G4"/>
    <mergeCell ref="U4:V4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C6D7-4295-40AD-A163-D38168C74173}">
  <dimension ref="C3:J6"/>
  <sheetViews>
    <sheetView workbookViewId="0">
      <selection activeCell="C3" sqref="C3"/>
    </sheetView>
  </sheetViews>
  <sheetFormatPr defaultRowHeight="14.4" x14ac:dyDescent="0.3"/>
  <cols>
    <col min="3" max="3" width="15.33203125" customWidth="1"/>
    <col min="4" max="7" width="15" customWidth="1"/>
    <col min="9" max="10" width="12.5546875" customWidth="1"/>
  </cols>
  <sheetData>
    <row r="3" spans="3:10" x14ac:dyDescent="0.3">
      <c r="C3" s="240" t="s">
        <v>124</v>
      </c>
    </row>
    <row r="4" spans="3:10" ht="31.2" customHeight="1" x14ac:dyDescent="0.3">
      <c r="D4" s="239" t="s">
        <v>117</v>
      </c>
      <c r="E4" s="239"/>
      <c r="F4" s="239"/>
      <c r="G4" s="239"/>
      <c r="I4" s="238" t="s">
        <v>129</v>
      </c>
      <c r="J4" s="238"/>
    </row>
    <row r="5" spans="3:10" x14ac:dyDescent="0.3">
      <c r="D5" s="205" t="s">
        <v>118</v>
      </c>
      <c r="E5" s="205" t="s">
        <v>119</v>
      </c>
      <c r="F5" s="205" t="s">
        <v>120</v>
      </c>
      <c r="G5" s="206" t="s">
        <v>8</v>
      </c>
      <c r="I5" s="211" t="s">
        <v>121</v>
      </c>
      <c r="J5" s="211" t="s">
        <v>122</v>
      </c>
    </row>
    <row r="6" spans="3:10" x14ac:dyDescent="0.3">
      <c r="C6" s="207" t="s">
        <v>123</v>
      </c>
      <c r="D6" s="208">
        <v>293188.98128212022</v>
      </c>
      <c r="E6" s="208">
        <v>102704.49507578448</v>
      </c>
      <c r="F6" s="209">
        <v>94834.523642095388</v>
      </c>
      <c r="G6" s="210">
        <v>490728.00000000012</v>
      </c>
      <c r="I6" s="212">
        <v>29318.898128212022</v>
      </c>
      <c r="J6" s="212">
        <v>10270.449507578449</v>
      </c>
    </row>
  </sheetData>
  <mergeCells count="2">
    <mergeCell ref="I4:J4"/>
    <mergeCell ref="D4:G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MODPEF2020</vt:lpstr>
      <vt:lpstr>Ricavi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</dc:creator>
  <cp:lastModifiedBy>Edoardo</cp:lastModifiedBy>
  <dcterms:created xsi:type="dcterms:W3CDTF">2015-06-05T18:19:34Z</dcterms:created>
  <dcterms:modified xsi:type="dcterms:W3CDTF">2020-11-30T17:31:20Z</dcterms:modified>
</cp:coreProperties>
</file>